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2" r:id="rId3"/>
    <sheet name="Partner Engagement" sheetId="3" r:id="rId4"/>
    <sheet name="NYPQ Perf Network 032017" sheetId="21" state="hidden" r:id="rId5"/>
  </sheets>
  <externalReferences>
    <externalReference r:id="rId6"/>
  </externalReferences>
  <definedNames>
    <definedName name="_xlnm._FilterDatabase" localSheetId="4" hidden="1">'NYPQ Perf Network 032017'!$A$1:$AI$1019</definedName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5" i="2" l="1"/>
  <c r="B23" i="2" l="1"/>
  <c r="B65" i="2" l="1"/>
  <c r="B55" i="2"/>
  <c r="B11" i="2"/>
  <c r="B10" i="2"/>
  <c r="B9" i="2"/>
  <c r="B8" i="2"/>
  <c r="B64" i="2"/>
  <c r="B7" i="2"/>
  <c r="B40" i="2"/>
  <c r="B39" i="2"/>
  <c r="B6" i="2"/>
  <c r="B5" i="2" l="1"/>
  <c r="B63" i="2" l="1"/>
  <c r="J172" i="2" l="1"/>
  <c r="J171" i="2"/>
  <c r="J170" i="2"/>
  <c r="J174" i="2" s="1"/>
  <c r="E23" i="1" s="1"/>
  <c r="J169" i="2"/>
  <c r="J168" i="2"/>
  <c r="J167" i="2"/>
  <c r="J164" i="2"/>
  <c r="J163" i="2"/>
  <c r="J162" i="2"/>
  <c r="J161" i="2"/>
  <c r="J160" i="2"/>
  <c r="J159" i="2"/>
  <c r="J156" i="2"/>
  <c r="J155" i="2"/>
  <c r="J154" i="2"/>
  <c r="J153" i="2"/>
  <c r="J152" i="2"/>
  <c r="J151" i="2"/>
  <c r="J148" i="2"/>
  <c r="J147" i="2"/>
  <c r="J146" i="2"/>
  <c r="J145" i="2"/>
  <c r="J144" i="2"/>
  <c r="J143" i="2"/>
  <c r="J140" i="2"/>
  <c r="J139" i="2"/>
  <c r="J138" i="2"/>
  <c r="J137" i="2"/>
  <c r="J136" i="2"/>
  <c r="J132" i="2"/>
  <c r="J131" i="2"/>
  <c r="J130" i="2"/>
  <c r="J129" i="2"/>
  <c r="J128" i="2"/>
  <c r="J127" i="2"/>
  <c r="J124" i="2"/>
  <c r="J123" i="2"/>
  <c r="J122" i="2"/>
  <c r="J121" i="2"/>
  <c r="J120" i="2"/>
  <c r="J119" i="2"/>
  <c r="J116" i="2"/>
  <c r="J84" i="2"/>
  <c r="J83" i="2"/>
  <c r="J82" i="2"/>
  <c r="J81" i="2"/>
  <c r="J76" i="2"/>
  <c r="J75" i="2"/>
  <c r="J74" i="2"/>
  <c r="J73" i="2"/>
  <c r="J72" i="2"/>
  <c r="J71" i="2"/>
  <c r="J60" i="2"/>
  <c r="J59" i="2"/>
  <c r="J58" i="2"/>
  <c r="J57" i="2"/>
  <c r="J56" i="2"/>
  <c r="J52" i="2"/>
  <c r="J51" i="2"/>
  <c r="J50" i="2"/>
  <c r="J49" i="2"/>
  <c r="J48" i="2"/>
  <c r="J47" i="2"/>
  <c r="J44" i="2"/>
  <c r="J43" i="2"/>
  <c r="J42" i="2"/>
  <c r="J41" i="2"/>
  <c r="J36" i="2"/>
  <c r="J35" i="2"/>
  <c r="J34" i="2"/>
  <c r="E17" i="1" s="1"/>
  <c r="J33" i="2"/>
  <c r="J32" i="2"/>
  <c r="J31" i="2"/>
  <c r="J28" i="2"/>
  <c r="J27" i="2"/>
  <c r="J26" i="2"/>
  <c r="J25" i="2"/>
  <c r="J24" i="2"/>
  <c r="J20" i="2"/>
  <c r="J19" i="2"/>
  <c r="J18" i="2"/>
  <c r="J17" i="2"/>
  <c r="J16" i="2"/>
  <c r="J15" i="2"/>
  <c r="J12" i="2"/>
  <c r="I174" i="2"/>
  <c r="H174" i="2"/>
  <c r="C23" i="1" s="1"/>
  <c r="I166" i="2"/>
  <c r="D22" i="1" s="1"/>
  <c r="H166" i="2"/>
  <c r="I158" i="2"/>
  <c r="D21" i="1" s="1"/>
  <c r="H21" i="1" s="1"/>
  <c r="H158" i="2"/>
  <c r="C21" i="1" s="1"/>
  <c r="I150" i="2"/>
  <c r="D20" i="1" s="1"/>
  <c r="H20" i="1" s="1"/>
  <c r="H150" i="2"/>
  <c r="C20" i="1" s="1"/>
  <c r="G20" i="1" s="1"/>
  <c r="I142" i="2"/>
  <c r="D18" i="1" s="1"/>
  <c r="H18" i="1" s="1"/>
  <c r="H142" i="2"/>
  <c r="I134" i="2"/>
  <c r="D17" i="1" s="1"/>
  <c r="H17" i="1" s="1"/>
  <c r="H134" i="2"/>
  <c r="C17" i="1" s="1"/>
  <c r="I126" i="2"/>
  <c r="D16" i="1" s="1"/>
  <c r="H16" i="1" s="1"/>
  <c r="H126" i="2"/>
  <c r="C16" i="1" s="1"/>
  <c r="I118" i="2"/>
  <c r="D15" i="1" s="1"/>
  <c r="H118" i="2"/>
  <c r="C15" i="1" s="1"/>
  <c r="G15" i="1" s="1"/>
  <c r="I86" i="2"/>
  <c r="D14" i="1" s="1"/>
  <c r="H86" i="2"/>
  <c r="C14" i="1" s="1"/>
  <c r="G14" i="1" s="1"/>
  <c r="I78" i="2"/>
  <c r="D13" i="1" s="1"/>
  <c r="H78" i="2"/>
  <c r="I70" i="2"/>
  <c r="D12" i="1" s="1"/>
  <c r="H12" i="1" s="1"/>
  <c r="H70" i="2"/>
  <c r="C12" i="1" s="1"/>
  <c r="I62" i="2"/>
  <c r="D11" i="1" s="1"/>
  <c r="H11" i="1" s="1"/>
  <c r="H62" i="2"/>
  <c r="C11" i="1" s="1"/>
  <c r="I54" i="2"/>
  <c r="D10" i="1" s="1"/>
  <c r="H54" i="2"/>
  <c r="I46" i="2"/>
  <c r="D9" i="1" s="1"/>
  <c r="H46" i="2"/>
  <c r="C9" i="1" s="1"/>
  <c r="G9" i="1" s="1"/>
  <c r="I38" i="2"/>
  <c r="D8" i="1" s="1"/>
  <c r="H8" i="1" s="1"/>
  <c r="H38" i="2"/>
  <c r="C8" i="1" s="1"/>
  <c r="I30" i="2"/>
  <c r="D7" i="1" s="1"/>
  <c r="H7" i="1" s="1"/>
  <c r="H30" i="2"/>
  <c r="C7" i="1" s="1"/>
  <c r="I22" i="2"/>
  <c r="D6" i="1" s="1"/>
  <c r="H6" i="1" s="1"/>
  <c r="H22" i="2"/>
  <c r="C6" i="1" s="1"/>
  <c r="I14" i="2"/>
  <c r="D5" i="1" s="1"/>
  <c r="H5" i="1" s="1"/>
  <c r="H14" i="2"/>
  <c r="C5" i="1" s="1"/>
  <c r="D23" i="1"/>
  <c r="H23" i="1" s="1"/>
  <c r="C22" i="1"/>
  <c r="G22" i="1" s="1"/>
  <c r="C18" i="1"/>
  <c r="C13" i="1"/>
  <c r="G13" i="1" s="1"/>
  <c r="C10" i="1"/>
  <c r="G10" i="1" s="1"/>
  <c r="V1019" i="21"/>
  <c r="A1019" i="21"/>
  <c r="V1018" i="21"/>
  <c r="A1018" i="21"/>
  <c r="AA1017" i="21"/>
  <c r="B1017" i="21"/>
  <c r="A1017" i="21"/>
  <c r="AA1016" i="21"/>
  <c r="B1016" i="21"/>
  <c r="A1016" i="21"/>
  <c r="AA1015" i="21"/>
  <c r="B1015" i="21"/>
  <c r="A1015" i="21"/>
  <c r="AA1014" i="21"/>
  <c r="B1014" i="21"/>
  <c r="A1014" i="21"/>
  <c r="AA1013" i="21"/>
  <c r="B1013" i="21"/>
  <c r="A1013" i="21"/>
  <c r="AA1012" i="21"/>
  <c r="B1012" i="21"/>
  <c r="A1012" i="21"/>
  <c r="AA1011" i="21"/>
  <c r="B1011" i="21"/>
  <c r="A1011" i="21"/>
  <c r="AA1010" i="21"/>
  <c r="B1010" i="21"/>
  <c r="A1010" i="21"/>
  <c r="AA1009" i="21"/>
  <c r="B1009" i="21"/>
  <c r="A1009" i="21"/>
  <c r="AA1008" i="21"/>
  <c r="B1008" i="21"/>
  <c r="A1008" i="21"/>
  <c r="V1007" i="21"/>
  <c r="A1007" i="21"/>
  <c r="V1006" i="21"/>
  <c r="A1006" i="21"/>
  <c r="AA1005" i="21"/>
  <c r="B1005" i="21"/>
  <c r="A1005" i="21"/>
  <c r="AA1004" i="21"/>
  <c r="B1004" i="21"/>
  <c r="A1004" i="21"/>
  <c r="AA1003" i="21"/>
  <c r="B1003" i="21"/>
  <c r="A1003" i="21"/>
  <c r="AA1002" i="21"/>
  <c r="B1002" i="21"/>
  <c r="A1002" i="21"/>
  <c r="AA1001" i="21"/>
  <c r="B1001" i="21"/>
  <c r="A1001" i="21"/>
  <c r="AA1000" i="21"/>
  <c r="B1000" i="21"/>
  <c r="A1000" i="21"/>
  <c r="AA999" i="21"/>
  <c r="B999" i="21"/>
  <c r="A999" i="21"/>
  <c r="AA998" i="21"/>
  <c r="B998" i="21"/>
  <c r="A998" i="21"/>
  <c r="AA997" i="21"/>
  <c r="B997" i="21"/>
  <c r="A997" i="21"/>
  <c r="AA996" i="21"/>
  <c r="B996" i="21"/>
  <c r="A996" i="21"/>
  <c r="AA995" i="21"/>
  <c r="B995" i="21"/>
  <c r="A995" i="21"/>
  <c r="AA994" i="21"/>
  <c r="B994" i="21"/>
  <c r="A994" i="21"/>
  <c r="AA993" i="21"/>
  <c r="B993" i="21"/>
  <c r="A993" i="21"/>
  <c r="AA992" i="21"/>
  <c r="B992" i="21"/>
  <c r="A992" i="21"/>
  <c r="AA991" i="21"/>
  <c r="B991" i="21"/>
  <c r="A991" i="21"/>
  <c r="AA990" i="21"/>
  <c r="B990" i="21"/>
  <c r="A990" i="21"/>
  <c r="AA989" i="21"/>
  <c r="B989" i="21"/>
  <c r="A989" i="21"/>
  <c r="AA988" i="21"/>
  <c r="B988" i="21"/>
  <c r="A988" i="21"/>
  <c r="AA987" i="21"/>
  <c r="B987" i="21"/>
  <c r="A987" i="21"/>
  <c r="AA986" i="21"/>
  <c r="B986" i="21"/>
  <c r="A986" i="21"/>
  <c r="AA985" i="21"/>
  <c r="B985" i="21"/>
  <c r="A985" i="21"/>
  <c r="V984" i="21"/>
  <c r="A984" i="21"/>
  <c r="AA983" i="21"/>
  <c r="B983" i="21"/>
  <c r="A983" i="21"/>
  <c r="AA982" i="21"/>
  <c r="B982" i="21"/>
  <c r="A982" i="21"/>
  <c r="V981" i="21"/>
  <c r="A981" i="21"/>
  <c r="AA980" i="21"/>
  <c r="B980" i="21"/>
  <c r="A980" i="21"/>
  <c r="AA979" i="21"/>
  <c r="B979" i="21"/>
  <c r="A979" i="21"/>
  <c r="AA978" i="21"/>
  <c r="B978" i="21"/>
  <c r="A978" i="21"/>
  <c r="AA977" i="21"/>
  <c r="B977" i="21"/>
  <c r="A977" i="21"/>
  <c r="AA976" i="21"/>
  <c r="B976" i="21"/>
  <c r="A976" i="21"/>
  <c r="AA975" i="21"/>
  <c r="B975" i="21"/>
  <c r="A975" i="21"/>
  <c r="AA974" i="21"/>
  <c r="B974" i="21"/>
  <c r="A974" i="21"/>
  <c r="AA973" i="21"/>
  <c r="B973" i="21"/>
  <c r="A973" i="21"/>
  <c r="AA972" i="21"/>
  <c r="B972" i="21"/>
  <c r="A972" i="21"/>
  <c r="AA971" i="21"/>
  <c r="B971" i="21"/>
  <c r="A971" i="21"/>
  <c r="AA970" i="21"/>
  <c r="B970" i="21"/>
  <c r="A970" i="21"/>
  <c r="AA969" i="21"/>
  <c r="B969" i="21"/>
  <c r="A969" i="21"/>
  <c r="AA968" i="21"/>
  <c r="B968" i="21"/>
  <c r="A968" i="21"/>
  <c r="AA967" i="21"/>
  <c r="B967" i="21"/>
  <c r="A967" i="21"/>
  <c r="AA966" i="21"/>
  <c r="B966" i="21"/>
  <c r="A966" i="21"/>
  <c r="AA965" i="21"/>
  <c r="B965" i="21"/>
  <c r="A965" i="21"/>
  <c r="AA964" i="21"/>
  <c r="B964" i="21"/>
  <c r="A964" i="21"/>
  <c r="AA963" i="21"/>
  <c r="B963" i="21"/>
  <c r="A963" i="21"/>
  <c r="AA962" i="21"/>
  <c r="B962" i="21"/>
  <c r="A962" i="21"/>
  <c r="AA961" i="21"/>
  <c r="B961" i="21"/>
  <c r="A961" i="21"/>
  <c r="AA960" i="21"/>
  <c r="B960" i="21"/>
  <c r="A960" i="21"/>
  <c r="AA959" i="21"/>
  <c r="B959" i="21"/>
  <c r="A959" i="21"/>
  <c r="AA958" i="21"/>
  <c r="B958" i="21"/>
  <c r="A958" i="21"/>
  <c r="AA957" i="21"/>
  <c r="B957" i="21"/>
  <c r="A957" i="21"/>
  <c r="AA956" i="21"/>
  <c r="B956" i="21"/>
  <c r="A956" i="21"/>
  <c r="AA955" i="21"/>
  <c r="B955" i="21"/>
  <c r="A955" i="21"/>
  <c r="AA954" i="21"/>
  <c r="B954" i="21"/>
  <c r="A954" i="21"/>
  <c r="AA953" i="21"/>
  <c r="B953" i="21"/>
  <c r="A953" i="21"/>
  <c r="AA952" i="21"/>
  <c r="B952" i="21"/>
  <c r="A952" i="21"/>
  <c r="AA951" i="21"/>
  <c r="B951" i="21"/>
  <c r="A951" i="21"/>
  <c r="AA950" i="21"/>
  <c r="B950" i="21"/>
  <c r="A950" i="21"/>
  <c r="AA949" i="21"/>
  <c r="B949" i="21"/>
  <c r="A949" i="21"/>
  <c r="AA948" i="21"/>
  <c r="B948" i="21"/>
  <c r="A948" i="21"/>
  <c r="AA947" i="21"/>
  <c r="B947" i="21"/>
  <c r="A947" i="21"/>
  <c r="AA946" i="21"/>
  <c r="B946" i="21"/>
  <c r="A946" i="21"/>
  <c r="AA945" i="21"/>
  <c r="B945" i="21"/>
  <c r="A945" i="21"/>
  <c r="AA944" i="21"/>
  <c r="B944" i="21"/>
  <c r="A944" i="21"/>
  <c r="AA943" i="21"/>
  <c r="B943" i="21"/>
  <c r="A943" i="21"/>
  <c r="AA942" i="21"/>
  <c r="B942" i="21"/>
  <c r="A942" i="21"/>
  <c r="AA941" i="21"/>
  <c r="B941" i="21"/>
  <c r="A941" i="21"/>
  <c r="AA940" i="21"/>
  <c r="B940" i="21"/>
  <c r="A940" i="21"/>
  <c r="AA939" i="21"/>
  <c r="B939" i="21"/>
  <c r="A939" i="21"/>
  <c r="AA938" i="21"/>
  <c r="B938" i="21"/>
  <c r="A938" i="21"/>
  <c r="AA937" i="21"/>
  <c r="B937" i="21"/>
  <c r="A937" i="21"/>
  <c r="AA936" i="21"/>
  <c r="B936" i="21"/>
  <c r="A936" i="21"/>
  <c r="V935" i="21"/>
  <c r="A935" i="21"/>
  <c r="AA934" i="21"/>
  <c r="B934" i="21"/>
  <c r="A934" i="21"/>
  <c r="AA933" i="21"/>
  <c r="B933" i="21"/>
  <c r="A933" i="21"/>
  <c r="AA932" i="21"/>
  <c r="B932" i="21"/>
  <c r="A932" i="21"/>
  <c r="AA931" i="21"/>
  <c r="B931" i="21"/>
  <c r="A931" i="21"/>
  <c r="AA930" i="21"/>
  <c r="B930" i="21"/>
  <c r="A930" i="21"/>
  <c r="AA929" i="21"/>
  <c r="B929" i="21"/>
  <c r="A929" i="21"/>
  <c r="AA928" i="21"/>
  <c r="B928" i="21"/>
  <c r="A928" i="21"/>
  <c r="AA927" i="21"/>
  <c r="B927" i="21"/>
  <c r="A927" i="21"/>
  <c r="AA926" i="21"/>
  <c r="B926" i="21"/>
  <c r="A926" i="21"/>
  <c r="AA925" i="21"/>
  <c r="B925" i="21"/>
  <c r="A925" i="21"/>
  <c r="AA924" i="21"/>
  <c r="B924" i="21"/>
  <c r="A924" i="21"/>
  <c r="AA923" i="21"/>
  <c r="B923" i="21"/>
  <c r="A923" i="21"/>
  <c r="AA922" i="21"/>
  <c r="B922" i="21"/>
  <c r="A922" i="21"/>
  <c r="AA921" i="21"/>
  <c r="B921" i="21"/>
  <c r="A921" i="21"/>
  <c r="AA920" i="21"/>
  <c r="B920" i="21"/>
  <c r="A920" i="21"/>
  <c r="AA919" i="21"/>
  <c r="B919" i="21"/>
  <c r="A919" i="21"/>
  <c r="AA918" i="21"/>
  <c r="B918" i="21"/>
  <c r="A918" i="21"/>
  <c r="AA917" i="21"/>
  <c r="B917" i="21"/>
  <c r="A917" i="21"/>
  <c r="AA916" i="21"/>
  <c r="B916" i="21"/>
  <c r="A916" i="21"/>
  <c r="AA915" i="21"/>
  <c r="B915" i="21"/>
  <c r="A915" i="21"/>
  <c r="AA914" i="21"/>
  <c r="B914" i="21"/>
  <c r="A914" i="21"/>
  <c r="AA913" i="21"/>
  <c r="B913" i="21"/>
  <c r="A913" i="21"/>
  <c r="AA912" i="21"/>
  <c r="B912" i="21"/>
  <c r="A912" i="21"/>
  <c r="AA911" i="21"/>
  <c r="B911" i="21"/>
  <c r="A911" i="21"/>
  <c r="AA910" i="21"/>
  <c r="B910" i="21"/>
  <c r="A910" i="21"/>
  <c r="AA909" i="21"/>
  <c r="B909" i="21"/>
  <c r="A909" i="21"/>
  <c r="AA908" i="21"/>
  <c r="B908" i="21"/>
  <c r="A908" i="21"/>
  <c r="AA907" i="21"/>
  <c r="B907" i="21"/>
  <c r="A907" i="21"/>
  <c r="AA906" i="21"/>
  <c r="B906" i="21"/>
  <c r="A906" i="21"/>
  <c r="AA905" i="21"/>
  <c r="B905" i="21"/>
  <c r="A905" i="21"/>
  <c r="AA904" i="21"/>
  <c r="B904" i="21"/>
  <c r="A904" i="21"/>
  <c r="AA903" i="21"/>
  <c r="B903" i="21"/>
  <c r="A903" i="21"/>
  <c r="AA902" i="21"/>
  <c r="B902" i="21"/>
  <c r="A902" i="21"/>
  <c r="AA901" i="21"/>
  <c r="B901" i="21"/>
  <c r="A901" i="21"/>
  <c r="AA900" i="21"/>
  <c r="B900" i="21"/>
  <c r="A900" i="21"/>
  <c r="AA899" i="21"/>
  <c r="B899" i="21"/>
  <c r="A899" i="21"/>
  <c r="AA898" i="21"/>
  <c r="B898" i="21"/>
  <c r="A898" i="21"/>
  <c r="AA897" i="21"/>
  <c r="B897" i="21"/>
  <c r="A897" i="21"/>
  <c r="AA896" i="21"/>
  <c r="B896" i="21"/>
  <c r="A896" i="21"/>
  <c r="AA895" i="21"/>
  <c r="B895" i="21"/>
  <c r="A895" i="21"/>
  <c r="AA894" i="21"/>
  <c r="B894" i="21"/>
  <c r="A894" i="21"/>
  <c r="AA893" i="21"/>
  <c r="B893" i="21"/>
  <c r="A893" i="21"/>
  <c r="AA892" i="21"/>
  <c r="B892" i="21"/>
  <c r="A892" i="21"/>
  <c r="AA891" i="21"/>
  <c r="B891" i="21"/>
  <c r="A891" i="21"/>
  <c r="AA890" i="21"/>
  <c r="B890" i="21"/>
  <c r="A890" i="21"/>
  <c r="AA889" i="21"/>
  <c r="B889" i="21"/>
  <c r="A889" i="21"/>
  <c r="AA888" i="21"/>
  <c r="B888" i="21"/>
  <c r="A888" i="21"/>
  <c r="V887" i="21"/>
  <c r="A887" i="21"/>
  <c r="AA886" i="21"/>
  <c r="B886" i="21"/>
  <c r="A886" i="21"/>
  <c r="V885" i="21"/>
  <c r="A885" i="21"/>
  <c r="V884" i="21"/>
  <c r="A884" i="21"/>
  <c r="V883" i="21"/>
  <c r="A883" i="21"/>
  <c r="AA882" i="21"/>
  <c r="B882" i="21"/>
  <c r="A882" i="21"/>
  <c r="AA881" i="21"/>
  <c r="B881" i="21"/>
  <c r="A881" i="21"/>
  <c r="AA880" i="21"/>
  <c r="B880" i="21"/>
  <c r="A880" i="21"/>
  <c r="AA879" i="21"/>
  <c r="B879" i="21"/>
  <c r="A879" i="21"/>
  <c r="AA878" i="21"/>
  <c r="B878" i="21"/>
  <c r="A878" i="21"/>
  <c r="AA877" i="21"/>
  <c r="B877" i="21"/>
  <c r="A877" i="21"/>
  <c r="AA876" i="21"/>
  <c r="B876" i="21"/>
  <c r="A876" i="21"/>
  <c r="AA875" i="21"/>
  <c r="B875" i="21"/>
  <c r="A875" i="21"/>
  <c r="AA874" i="21"/>
  <c r="B874" i="21"/>
  <c r="A874" i="21"/>
  <c r="AA873" i="21"/>
  <c r="B873" i="21"/>
  <c r="A873" i="21"/>
  <c r="AA872" i="21"/>
  <c r="B872" i="21"/>
  <c r="A872" i="21"/>
  <c r="AA871" i="21"/>
  <c r="B871" i="21"/>
  <c r="A871" i="21"/>
  <c r="AA870" i="21"/>
  <c r="B870" i="21"/>
  <c r="A870" i="21"/>
  <c r="AA869" i="21"/>
  <c r="B869" i="21"/>
  <c r="A869" i="21"/>
  <c r="AA868" i="21"/>
  <c r="B868" i="21"/>
  <c r="A868" i="21"/>
  <c r="AA867" i="21"/>
  <c r="B867" i="21"/>
  <c r="A867" i="21"/>
  <c r="AA866" i="21"/>
  <c r="B866" i="21"/>
  <c r="A866" i="21"/>
  <c r="AA865" i="21"/>
  <c r="B865" i="21"/>
  <c r="A865" i="21"/>
  <c r="AA864" i="21"/>
  <c r="B864" i="21"/>
  <c r="A864" i="21"/>
  <c r="AA863" i="21"/>
  <c r="B863" i="21"/>
  <c r="A863" i="21"/>
  <c r="V862" i="21"/>
  <c r="A862" i="21"/>
  <c r="AA861" i="21"/>
  <c r="B861" i="21"/>
  <c r="A861" i="21"/>
  <c r="V860" i="21"/>
  <c r="A860" i="21"/>
  <c r="AA859" i="21"/>
  <c r="B859" i="21"/>
  <c r="A859" i="21"/>
  <c r="AA858" i="21"/>
  <c r="B858" i="21"/>
  <c r="A858" i="21"/>
  <c r="AA857" i="21"/>
  <c r="B857" i="21"/>
  <c r="A857" i="21"/>
  <c r="AA856" i="21"/>
  <c r="B856" i="21"/>
  <c r="A856" i="21"/>
  <c r="AA855" i="21"/>
  <c r="B855" i="21"/>
  <c r="A855" i="21"/>
  <c r="AA854" i="21"/>
  <c r="B854" i="21"/>
  <c r="A854" i="21"/>
  <c r="AA853" i="21"/>
  <c r="B853" i="21"/>
  <c r="A853" i="21"/>
  <c r="AA852" i="21"/>
  <c r="B852" i="21"/>
  <c r="A852" i="21"/>
  <c r="AA851" i="21"/>
  <c r="B851" i="21"/>
  <c r="A851" i="21"/>
  <c r="AA850" i="21"/>
  <c r="B850" i="21"/>
  <c r="A850" i="21"/>
  <c r="AA849" i="21"/>
  <c r="B849" i="21"/>
  <c r="A849" i="21"/>
  <c r="AA848" i="21"/>
  <c r="B848" i="21"/>
  <c r="A848" i="21"/>
  <c r="AA847" i="21"/>
  <c r="B847" i="21"/>
  <c r="A847" i="21"/>
  <c r="AA846" i="21"/>
  <c r="B846" i="21"/>
  <c r="A846" i="21"/>
  <c r="AA845" i="21"/>
  <c r="B845" i="21"/>
  <c r="A845" i="21"/>
  <c r="AA844" i="21"/>
  <c r="B844" i="21"/>
  <c r="A844" i="21"/>
  <c r="AA843" i="21"/>
  <c r="B843" i="21"/>
  <c r="A843" i="21"/>
  <c r="AA842" i="21"/>
  <c r="B842" i="21"/>
  <c r="A842" i="21"/>
  <c r="V841" i="21"/>
  <c r="A841" i="21"/>
  <c r="AA840" i="21"/>
  <c r="B840" i="21"/>
  <c r="A840" i="21"/>
  <c r="AA839" i="21"/>
  <c r="B839" i="21"/>
  <c r="A839" i="21"/>
  <c r="AA838" i="21"/>
  <c r="B838" i="21"/>
  <c r="A838" i="21"/>
  <c r="AA837" i="21"/>
  <c r="B837" i="21"/>
  <c r="A837" i="21"/>
  <c r="AA836" i="21"/>
  <c r="B836" i="21"/>
  <c r="A836" i="21"/>
  <c r="AA835" i="21"/>
  <c r="B835" i="21"/>
  <c r="A835" i="21"/>
  <c r="AA834" i="21"/>
  <c r="B834" i="21"/>
  <c r="A834" i="21"/>
  <c r="AA833" i="21"/>
  <c r="B833" i="21"/>
  <c r="A833" i="21"/>
  <c r="AA832" i="21"/>
  <c r="B832" i="21"/>
  <c r="A832" i="21"/>
  <c r="AA831" i="21"/>
  <c r="B831" i="21"/>
  <c r="A831" i="21"/>
  <c r="AA830" i="21"/>
  <c r="B830" i="21"/>
  <c r="A830" i="21"/>
  <c r="AA829" i="21"/>
  <c r="B829" i="21"/>
  <c r="A829" i="21"/>
  <c r="V828" i="21"/>
  <c r="A828" i="21"/>
  <c r="AA827" i="21"/>
  <c r="B827" i="21"/>
  <c r="A827" i="21"/>
  <c r="AA826" i="21"/>
  <c r="B826" i="21"/>
  <c r="A826" i="21"/>
  <c r="AA825" i="21"/>
  <c r="B825" i="21"/>
  <c r="A825" i="21"/>
  <c r="AA824" i="21"/>
  <c r="B824" i="21"/>
  <c r="A824" i="21"/>
  <c r="AA823" i="21"/>
  <c r="B823" i="21"/>
  <c r="A823" i="21"/>
  <c r="AA822" i="21"/>
  <c r="B822" i="21"/>
  <c r="A822" i="21"/>
  <c r="AA821" i="21"/>
  <c r="B821" i="21"/>
  <c r="A821" i="21"/>
  <c r="AA820" i="21"/>
  <c r="B820" i="21"/>
  <c r="A820" i="21"/>
  <c r="AA819" i="21"/>
  <c r="B819" i="21"/>
  <c r="A819" i="21"/>
  <c r="AA818" i="21"/>
  <c r="B818" i="21"/>
  <c r="A818" i="21"/>
  <c r="AA817" i="21"/>
  <c r="B817" i="21"/>
  <c r="A817" i="21"/>
  <c r="AA816" i="21"/>
  <c r="B816" i="21"/>
  <c r="A816" i="21"/>
  <c r="AA815" i="21"/>
  <c r="B815" i="21"/>
  <c r="A815" i="21"/>
  <c r="AA814" i="21"/>
  <c r="B814" i="21"/>
  <c r="A814" i="21"/>
  <c r="AA813" i="21"/>
  <c r="B813" i="21"/>
  <c r="A813" i="21"/>
  <c r="AA812" i="21"/>
  <c r="B812" i="21"/>
  <c r="A812" i="21"/>
  <c r="AA811" i="21"/>
  <c r="B811" i="21"/>
  <c r="A811" i="21"/>
  <c r="AA810" i="21"/>
  <c r="B810" i="21"/>
  <c r="A810" i="21"/>
  <c r="AA809" i="21"/>
  <c r="B809" i="21"/>
  <c r="A809" i="21"/>
  <c r="AA808" i="21"/>
  <c r="B808" i="21"/>
  <c r="A808" i="21"/>
  <c r="AA807" i="21"/>
  <c r="B807" i="21"/>
  <c r="A807" i="21"/>
  <c r="AA806" i="21"/>
  <c r="B806" i="21"/>
  <c r="A806" i="21"/>
  <c r="AA805" i="21"/>
  <c r="B805" i="21"/>
  <c r="A805" i="21"/>
  <c r="AA804" i="21"/>
  <c r="B804" i="21"/>
  <c r="A804" i="21"/>
  <c r="AA803" i="21"/>
  <c r="B803" i="21"/>
  <c r="A803" i="21"/>
  <c r="AA802" i="21"/>
  <c r="B802" i="21"/>
  <c r="A802" i="21"/>
  <c r="V801" i="21"/>
  <c r="A801" i="21"/>
  <c r="V800" i="21"/>
  <c r="A800" i="21"/>
  <c r="V799" i="21"/>
  <c r="A799" i="21"/>
  <c r="V798" i="21"/>
  <c r="A798" i="21"/>
  <c r="AA797" i="21"/>
  <c r="B797" i="21"/>
  <c r="A797" i="21"/>
  <c r="AA796" i="21"/>
  <c r="B796" i="21"/>
  <c r="A796" i="21"/>
  <c r="AA795" i="21"/>
  <c r="B795" i="21"/>
  <c r="A795" i="21"/>
  <c r="AA794" i="21"/>
  <c r="B794" i="21"/>
  <c r="A794" i="21"/>
  <c r="AA793" i="21"/>
  <c r="B793" i="21"/>
  <c r="A793" i="21"/>
  <c r="AA792" i="21"/>
  <c r="B792" i="21"/>
  <c r="A792" i="21"/>
  <c r="AA791" i="21"/>
  <c r="B791" i="21"/>
  <c r="A791" i="21"/>
  <c r="AA790" i="21"/>
  <c r="B790" i="21"/>
  <c r="A790" i="21"/>
  <c r="AA789" i="21"/>
  <c r="B789" i="21"/>
  <c r="A789" i="21"/>
  <c r="AA788" i="21"/>
  <c r="B788" i="21"/>
  <c r="A788" i="21"/>
  <c r="AA787" i="21"/>
  <c r="B787" i="21"/>
  <c r="A787" i="21"/>
  <c r="AA786" i="21"/>
  <c r="B786" i="21"/>
  <c r="A786" i="21"/>
  <c r="AA785" i="21"/>
  <c r="B785" i="21"/>
  <c r="A785" i="21"/>
  <c r="AA784" i="21"/>
  <c r="B784" i="21"/>
  <c r="A784" i="21"/>
  <c r="AA783" i="21"/>
  <c r="B783" i="21"/>
  <c r="A783" i="21"/>
  <c r="AA782" i="21"/>
  <c r="B782" i="21"/>
  <c r="A782" i="21"/>
  <c r="AA781" i="21"/>
  <c r="B781" i="21"/>
  <c r="A781" i="21"/>
  <c r="AA780" i="21"/>
  <c r="B780" i="21"/>
  <c r="A780" i="21"/>
  <c r="AA779" i="21"/>
  <c r="B779" i="21"/>
  <c r="A779" i="21"/>
  <c r="AA778" i="21"/>
  <c r="B778" i="21"/>
  <c r="AA777" i="21"/>
  <c r="B777" i="21"/>
  <c r="A777" i="21"/>
  <c r="AA776" i="21"/>
  <c r="B776" i="21"/>
  <c r="A776" i="21"/>
  <c r="AA775" i="21"/>
  <c r="B775" i="21"/>
  <c r="A775" i="21"/>
  <c r="AA774" i="21"/>
  <c r="B774" i="21"/>
  <c r="A774" i="21"/>
  <c r="AA773" i="21"/>
  <c r="B773" i="21"/>
  <c r="A773" i="21"/>
  <c r="AA772" i="21"/>
  <c r="B772" i="21"/>
  <c r="A772" i="21"/>
  <c r="AA771" i="21"/>
  <c r="B771" i="21"/>
  <c r="A771" i="21"/>
  <c r="AA770" i="21"/>
  <c r="B770" i="21"/>
  <c r="A770" i="21"/>
  <c r="AA769" i="21"/>
  <c r="B769" i="21"/>
  <c r="A769" i="21"/>
  <c r="AA768" i="21"/>
  <c r="B768" i="21"/>
  <c r="A768" i="21"/>
  <c r="AA767" i="21"/>
  <c r="B767" i="21"/>
  <c r="A767" i="21"/>
  <c r="AA766" i="21"/>
  <c r="B766" i="21"/>
  <c r="A766" i="21"/>
  <c r="AA765" i="21"/>
  <c r="B765" i="21"/>
  <c r="A765" i="21"/>
  <c r="AA764" i="21"/>
  <c r="B764" i="21"/>
  <c r="A764" i="21"/>
  <c r="AA763" i="21"/>
  <c r="B763" i="21"/>
  <c r="A763" i="21"/>
  <c r="AA762" i="21"/>
  <c r="B762" i="21"/>
  <c r="A762" i="21"/>
  <c r="AA761" i="21"/>
  <c r="B761" i="21"/>
  <c r="A761" i="21"/>
  <c r="AA760" i="21"/>
  <c r="B760" i="21"/>
  <c r="A760" i="21"/>
  <c r="AA759" i="21"/>
  <c r="B759" i="21"/>
  <c r="A759" i="21"/>
  <c r="AA758" i="21"/>
  <c r="B758" i="21"/>
  <c r="A758" i="21"/>
  <c r="AA757" i="21"/>
  <c r="B757" i="21"/>
  <c r="A757" i="21"/>
  <c r="AA756" i="21"/>
  <c r="B756" i="21"/>
  <c r="A756" i="21"/>
  <c r="AA755" i="21"/>
  <c r="B755" i="21"/>
  <c r="A755" i="21"/>
  <c r="AA754" i="21"/>
  <c r="B754" i="21"/>
  <c r="A754" i="21"/>
  <c r="V753" i="21"/>
  <c r="A753" i="21"/>
  <c r="AA752" i="21"/>
  <c r="B752" i="21"/>
  <c r="A752" i="21"/>
  <c r="AA751" i="21"/>
  <c r="B751" i="21"/>
  <c r="A751" i="21"/>
  <c r="AA750" i="21"/>
  <c r="B750" i="21"/>
  <c r="A750" i="21"/>
  <c r="V749" i="21"/>
  <c r="A749" i="21"/>
  <c r="AA748" i="21"/>
  <c r="B748" i="21"/>
  <c r="A748" i="21"/>
  <c r="AA747" i="21"/>
  <c r="B747" i="21"/>
  <c r="A747" i="21"/>
  <c r="AA746" i="21"/>
  <c r="B746" i="21"/>
  <c r="A746" i="21"/>
  <c r="AA745" i="21"/>
  <c r="B745" i="21"/>
  <c r="A745" i="21"/>
  <c r="AA744" i="21"/>
  <c r="B744" i="21"/>
  <c r="A744" i="21"/>
  <c r="AA743" i="21"/>
  <c r="B743" i="21"/>
  <c r="A743" i="21"/>
  <c r="AA742" i="21"/>
  <c r="B742" i="21"/>
  <c r="A742" i="21"/>
  <c r="AA741" i="21"/>
  <c r="B741" i="21"/>
  <c r="A741" i="21"/>
  <c r="AA740" i="21"/>
  <c r="B740" i="21"/>
  <c r="A740" i="21"/>
  <c r="AA739" i="21"/>
  <c r="B739" i="21"/>
  <c r="A739" i="21"/>
  <c r="AA738" i="21"/>
  <c r="B738" i="21"/>
  <c r="A738" i="21"/>
  <c r="AA737" i="21"/>
  <c r="B737" i="21"/>
  <c r="A737" i="21"/>
  <c r="AA736" i="21"/>
  <c r="B736" i="21"/>
  <c r="A736" i="21"/>
  <c r="AA735" i="21"/>
  <c r="B735" i="21"/>
  <c r="A735" i="21"/>
  <c r="AA734" i="21"/>
  <c r="B734" i="21"/>
  <c r="A734" i="21"/>
  <c r="V733" i="21"/>
  <c r="A733" i="21"/>
  <c r="V732" i="21"/>
  <c r="A732" i="21"/>
  <c r="AA731" i="21"/>
  <c r="B731" i="21"/>
  <c r="A731" i="21"/>
  <c r="AA730" i="21"/>
  <c r="B730" i="21"/>
  <c r="A730" i="21"/>
  <c r="AA729" i="21"/>
  <c r="B729" i="21"/>
  <c r="A729" i="21"/>
  <c r="B728" i="21"/>
  <c r="A728" i="21"/>
  <c r="AA727" i="21"/>
  <c r="B727" i="21"/>
  <c r="A727" i="21"/>
  <c r="AA726" i="21"/>
  <c r="B726" i="21"/>
  <c r="A726" i="21"/>
  <c r="AA725" i="21"/>
  <c r="B725" i="21"/>
  <c r="A725" i="21"/>
  <c r="AA724" i="21"/>
  <c r="B724" i="21"/>
  <c r="A724" i="21"/>
  <c r="AA723" i="21"/>
  <c r="B723" i="21"/>
  <c r="A723" i="21"/>
  <c r="AA722" i="21"/>
  <c r="B722" i="21"/>
  <c r="A722" i="21"/>
  <c r="AA721" i="21"/>
  <c r="B721" i="21"/>
  <c r="A721" i="21"/>
  <c r="AA720" i="21"/>
  <c r="B720" i="21"/>
  <c r="A720" i="21"/>
  <c r="AA719" i="21"/>
  <c r="B719" i="21"/>
  <c r="A719" i="21"/>
  <c r="V718" i="21"/>
  <c r="A718" i="21"/>
  <c r="AA717" i="21"/>
  <c r="B717" i="21"/>
  <c r="A717" i="21"/>
  <c r="AA716" i="21"/>
  <c r="B716" i="21"/>
  <c r="A716" i="21"/>
  <c r="AA715" i="21"/>
  <c r="B715" i="21"/>
  <c r="A715" i="21"/>
  <c r="AA714" i="21"/>
  <c r="B714" i="21"/>
  <c r="A714" i="21"/>
  <c r="AA713" i="21"/>
  <c r="B713" i="21"/>
  <c r="A713" i="21"/>
  <c r="AA712" i="21"/>
  <c r="B712" i="21"/>
  <c r="A712" i="21"/>
  <c r="AA711" i="21"/>
  <c r="B711" i="21"/>
  <c r="A711" i="21"/>
  <c r="AA710" i="21"/>
  <c r="B710" i="21"/>
  <c r="A710" i="21"/>
  <c r="AA709" i="21"/>
  <c r="B709" i="21"/>
  <c r="A709" i="21"/>
  <c r="AA708" i="21"/>
  <c r="B708" i="21"/>
  <c r="A708" i="21"/>
  <c r="AA707" i="21"/>
  <c r="B707" i="21"/>
  <c r="A707" i="21"/>
  <c r="AA706" i="21"/>
  <c r="B706" i="21"/>
  <c r="A706" i="21"/>
  <c r="AA705" i="21"/>
  <c r="B705" i="21"/>
  <c r="A705" i="21"/>
  <c r="AA704" i="21"/>
  <c r="B704" i="21"/>
  <c r="A704" i="21"/>
  <c r="AA703" i="21"/>
  <c r="B703" i="21"/>
  <c r="A703" i="21"/>
  <c r="AA702" i="21"/>
  <c r="B702" i="21"/>
  <c r="A702" i="21"/>
  <c r="AA701" i="21"/>
  <c r="B701" i="21"/>
  <c r="A701" i="21"/>
  <c r="AA700" i="21"/>
  <c r="B700" i="21"/>
  <c r="A700" i="21"/>
  <c r="V699" i="21"/>
  <c r="A699" i="21"/>
  <c r="AA698" i="21"/>
  <c r="B698" i="21"/>
  <c r="A698" i="21"/>
  <c r="Q697" i="21"/>
  <c r="AA696" i="21"/>
  <c r="B696" i="21"/>
  <c r="AA695" i="21"/>
  <c r="B695" i="21"/>
  <c r="AA694" i="21"/>
  <c r="B694" i="21"/>
  <c r="A694" i="21"/>
  <c r="AA693" i="21"/>
  <c r="B693" i="21"/>
  <c r="A693" i="21"/>
  <c r="AA692" i="21"/>
  <c r="B692" i="21"/>
  <c r="AA691" i="21"/>
  <c r="B691" i="21"/>
  <c r="A691" i="21"/>
  <c r="AA690" i="21"/>
  <c r="B690" i="21"/>
  <c r="A690" i="21"/>
  <c r="AA689" i="21"/>
  <c r="B689" i="21"/>
  <c r="A689" i="21"/>
  <c r="AA688" i="21"/>
  <c r="B688" i="21"/>
  <c r="A688" i="21"/>
  <c r="AA687" i="21"/>
  <c r="B687" i="21"/>
  <c r="A687" i="21"/>
  <c r="AA686" i="21"/>
  <c r="B686" i="21"/>
  <c r="A686" i="21"/>
  <c r="V685" i="21"/>
  <c r="A685" i="21"/>
  <c r="V684" i="21"/>
  <c r="A684" i="21"/>
  <c r="AA683" i="21"/>
  <c r="B683" i="21"/>
  <c r="A683" i="21"/>
  <c r="AA682" i="21"/>
  <c r="B682" i="21"/>
  <c r="A682" i="21"/>
  <c r="AA681" i="21"/>
  <c r="B681" i="21"/>
  <c r="A681" i="21"/>
  <c r="AA680" i="21"/>
  <c r="B680" i="21"/>
  <c r="A680" i="21"/>
  <c r="AA679" i="21"/>
  <c r="B679" i="21"/>
  <c r="A679" i="21"/>
  <c r="AA678" i="21"/>
  <c r="B678" i="21"/>
  <c r="A678" i="21"/>
  <c r="AA677" i="21"/>
  <c r="B677" i="21"/>
  <c r="A677" i="21"/>
  <c r="AA676" i="21"/>
  <c r="B676" i="21"/>
  <c r="A676" i="21"/>
  <c r="AA675" i="21"/>
  <c r="B675" i="21"/>
  <c r="A675" i="21"/>
  <c r="AA674" i="21"/>
  <c r="B674" i="21"/>
  <c r="A674" i="21"/>
  <c r="AA673" i="21"/>
  <c r="B673" i="21"/>
  <c r="A673" i="21"/>
  <c r="AA672" i="21"/>
  <c r="B672" i="21"/>
  <c r="A672" i="21"/>
  <c r="AA671" i="21"/>
  <c r="B671" i="21"/>
  <c r="A671" i="21"/>
  <c r="AA670" i="21"/>
  <c r="B670" i="21"/>
  <c r="A670" i="21"/>
  <c r="AA669" i="21"/>
  <c r="B669" i="21"/>
  <c r="A669" i="21"/>
  <c r="AA668" i="21"/>
  <c r="B668" i="21"/>
  <c r="A668" i="21"/>
  <c r="AA667" i="21"/>
  <c r="B667" i="21"/>
  <c r="AA666" i="21"/>
  <c r="B666" i="21"/>
  <c r="A666" i="21"/>
  <c r="AA665" i="21"/>
  <c r="B665" i="21"/>
  <c r="A665" i="21"/>
  <c r="AA664" i="21"/>
  <c r="B664" i="21"/>
  <c r="A664" i="21"/>
  <c r="AA663" i="21"/>
  <c r="B663" i="21"/>
  <c r="A663" i="21"/>
  <c r="AA662" i="21"/>
  <c r="B662" i="21"/>
  <c r="A662" i="21"/>
  <c r="V661" i="21"/>
  <c r="A661" i="21"/>
  <c r="AA660" i="21"/>
  <c r="B660" i="21"/>
  <c r="A660" i="21"/>
  <c r="AA659" i="21"/>
  <c r="B659" i="21"/>
  <c r="A659" i="21"/>
  <c r="V658" i="21"/>
  <c r="A658" i="21"/>
  <c r="AA657" i="21"/>
  <c r="B657" i="21"/>
  <c r="A657" i="21"/>
  <c r="AA656" i="21"/>
  <c r="B656" i="21"/>
  <c r="A656" i="21"/>
  <c r="AA655" i="21"/>
  <c r="B655" i="21"/>
  <c r="A655" i="21"/>
  <c r="V654" i="21"/>
  <c r="A654" i="21"/>
  <c r="AA653" i="21"/>
  <c r="B653" i="21"/>
  <c r="A653" i="21"/>
  <c r="AA652" i="21"/>
  <c r="B652" i="21"/>
  <c r="A652" i="21"/>
  <c r="AA651" i="21"/>
  <c r="B651" i="21"/>
  <c r="A651" i="21"/>
  <c r="AA650" i="21"/>
  <c r="B650" i="21"/>
  <c r="A650" i="21"/>
  <c r="AA649" i="21"/>
  <c r="B649" i="21"/>
  <c r="A649" i="21"/>
  <c r="AA648" i="21"/>
  <c r="B648" i="21"/>
  <c r="A648" i="21"/>
  <c r="AA647" i="21"/>
  <c r="B647" i="21"/>
  <c r="A647" i="21"/>
  <c r="AA646" i="21"/>
  <c r="B646" i="21"/>
  <c r="A646" i="21"/>
  <c r="AA645" i="21"/>
  <c r="B645" i="21"/>
  <c r="A645" i="21"/>
  <c r="AA644" i="21"/>
  <c r="B644" i="21"/>
  <c r="A644" i="21"/>
  <c r="AA643" i="21"/>
  <c r="B643" i="21"/>
  <c r="A643" i="21"/>
  <c r="AA642" i="21"/>
  <c r="B642" i="21"/>
  <c r="A642" i="21"/>
  <c r="AA641" i="21"/>
  <c r="B641" i="21"/>
  <c r="A641" i="21"/>
  <c r="AA640" i="21"/>
  <c r="B640" i="21"/>
  <c r="A640" i="21"/>
  <c r="AA639" i="21"/>
  <c r="B639" i="21"/>
  <c r="A639" i="21"/>
  <c r="AA638" i="21"/>
  <c r="B638" i="21"/>
  <c r="A638" i="21"/>
  <c r="AA637" i="21"/>
  <c r="B637" i="21"/>
  <c r="A637" i="21"/>
  <c r="AA636" i="21"/>
  <c r="B636" i="21"/>
  <c r="A636" i="21"/>
  <c r="AA635" i="21"/>
  <c r="B635" i="21"/>
  <c r="A635" i="21"/>
  <c r="AA634" i="21"/>
  <c r="B634" i="21"/>
  <c r="A634" i="21"/>
  <c r="AA633" i="21"/>
  <c r="B633" i="21"/>
  <c r="A633" i="21"/>
  <c r="AA632" i="21"/>
  <c r="B632" i="21"/>
  <c r="A632" i="21"/>
  <c r="AA631" i="21"/>
  <c r="B631" i="21"/>
  <c r="A631" i="21"/>
  <c r="AA630" i="21"/>
  <c r="B630" i="21"/>
  <c r="A630" i="21"/>
  <c r="AA629" i="21"/>
  <c r="B629" i="21"/>
  <c r="A629" i="21"/>
  <c r="AA628" i="21"/>
  <c r="B628" i="21"/>
  <c r="A628" i="21"/>
  <c r="AA627" i="21"/>
  <c r="B627" i="21"/>
  <c r="A627" i="21"/>
  <c r="AA626" i="21"/>
  <c r="B626" i="21"/>
  <c r="A626" i="21"/>
  <c r="AA625" i="21"/>
  <c r="B625" i="21"/>
  <c r="A625" i="21"/>
  <c r="AA624" i="21"/>
  <c r="B624" i="21"/>
  <c r="A624" i="21"/>
  <c r="AA623" i="21"/>
  <c r="B623" i="21"/>
  <c r="A623" i="21"/>
  <c r="AA622" i="21"/>
  <c r="B622" i="21"/>
  <c r="A622" i="21"/>
  <c r="AA621" i="21"/>
  <c r="B621" i="21"/>
  <c r="A621" i="21"/>
  <c r="V620" i="21"/>
  <c r="A620" i="21"/>
  <c r="V619" i="21"/>
  <c r="A619" i="21"/>
  <c r="V618" i="21"/>
  <c r="A618" i="21"/>
  <c r="V617" i="21"/>
  <c r="A617" i="21"/>
  <c r="V616" i="21"/>
  <c r="A616" i="21"/>
  <c r="V615" i="21"/>
  <c r="A615" i="21"/>
  <c r="V614" i="21"/>
  <c r="A614" i="21"/>
  <c r="V613" i="21"/>
  <c r="A613" i="21"/>
  <c r="V612" i="21"/>
  <c r="A612" i="21"/>
  <c r="V611" i="21"/>
  <c r="A611" i="21"/>
  <c r="V610" i="21"/>
  <c r="A610" i="21"/>
  <c r="V609" i="21"/>
  <c r="A609" i="21"/>
  <c r="V608" i="21"/>
  <c r="A608" i="21"/>
  <c r="V607" i="21"/>
  <c r="A607" i="21"/>
  <c r="V606" i="21"/>
  <c r="A606" i="21"/>
  <c r="V605" i="21"/>
  <c r="A605" i="21"/>
  <c r="V604" i="21"/>
  <c r="A604" i="21"/>
  <c r="V603" i="21"/>
  <c r="A603" i="21"/>
  <c r="V602" i="21"/>
  <c r="A602" i="21"/>
  <c r="AA601" i="21"/>
  <c r="B601" i="21"/>
  <c r="A601" i="21"/>
  <c r="AA600" i="21"/>
  <c r="B600" i="21"/>
  <c r="A600" i="21"/>
  <c r="AA599" i="21"/>
  <c r="B599" i="21"/>
  <c r="A599" i="21"/>
  <c r="AA598" i="21"/>
  <c r="B598" i="21"/>
  <c r="A598" i="21"/>
  <c r="AA597" i="21"/>
  <c r="B597" i="21"/>
  <c r="A597" i="21"/>
  <c r="AA596" i="21"/>
  <c r="B596" i="21"/>
  <c r="A596" i="21"/>
  <c r="AA595" i="21"/>
  <c r="B595" i="21"/>
  <c r="A595" i="21"/>
  <c r="Q594" i="21"/>
  <c r="AA593" i="21"/>
  <c r="B593" i="21"/>
  <c r="A593" i="21"/>
  <c r="Q592" i="21"/>
  <c r="V591" i="21"/>
  <c r="A591" i="21"/>
  <c r="AA590" i="21"/>
  <c r="B590" i="21"/>
  <c r="A590" i="21"/>
  <c r="AA589" i="21"/>
  <c r="B589" i="21"/>
  <c r="A589" i="21"/>
  <c r="AA588" i="21"/>
  <c r="B588" i="21"/>
  <c r="A588" i="21"/>
  <c r="AA587" i="21"/>
  <c r="B587" i="21"/>
  <c r="A587" i="21"/>
  <c r="AA586" i="21"/>
  <c r="B586" i="21"/>
  <c r="A586" i="21"/>
  <c r="AA585" i="21"/>
  <c r="B585" i="21"/>
  <c r="A585" i="21"/>
  <c r="AA584" i="21"/>
  <c r="B584" i="21"/>
  <c r="A584" i="21"/>
  <c r="AA583" i="21"/>
  <c r="B583" i="21"/>
  <c r="A583" i="21"/>
  <c r="Q582" i="21"/>
  <c r="AA581" i="21"/>
  <c r="B581" i="21"/>
  <c r="A581" i="21"/>
  <c r="AA580" i="21"/>
  <c r="B580" i="21"/>
  <c r="A580" i="21"/>
  <c r="AA579" i="21"/>
  <c r="B579" i="21"/>
  <c r="A579" i="21"/>
  <c r="AA578" i="21"/>
  <c r="B578" i="21"/>
  <c r="A578" i="21"/>
  <c r="AA577" i="21"/>
  <c r="B577" i="21"/>
  <c r="A577" i="21"/>
  <c r="AA576" i="21"/>
  <c r="B576" i="21"/>
  <c r="A576" i="21"/>
  <c r="V575" i="21"/>
  <c r="A575" i="21"/>
  <c r="AA574" i="21"/>
  <c r="B574" i="21"/>
  <c r="A574" i="21"/>
  <c r="AA573" i="21"/>
  <c r="B573" i="21"/>
  <c r="A573" i="21"/>
  <c r="AA572" i="21"/>
  <c r="B572" i="21"/>
  <c r="A572" i="21"/>
  <c r="V571" i="21"/>
  <c r="A571" i="21"/>
  <c r="AA570" i="21"/>
  <c r="B570" i="21"/>
  <c r="A570" i="21"/>
  <c r="AA569" i="21"/>
  <c r="B569" i="21"/>
  <c r="A569" i="21"/>
  <c r="AA568" i="21"/>
  <c r="B568" i="21"/>
  <c r="A568" i="21"/>
  <c r="AA567" i="21"/>
  <c r="B567" i="21"/>
  <c r="A567" i="21"/>
  <c r="AA566" i="21"/>
  <c r="B566" i="21"/>
  <c r="A566" i="21"/>
  <c r="AA565" i="21"/>
  <c r="B565" i="21"/>
  <c r="A565" i="21"/>
  <c r="AA564" i="21"/>
  <c r="B564" i="21"/>
  <c r="A564" i="21"/>
  <c r="AA563" i="21"/>
  <c r="B563" i="21"/>
  <c r="A563" i="21"/>
  <c r="AA562" i="21"/>
  <c r="B562" i="21"/>
  <c r="A562" i="21"/>
  <c r="AA561" i="21"/>
  <c r="B561" i="21"/>
  <c r="A561" i="21"/>
  <c r="AA560" i="21"/>
  <c r="B560" i="21"/>
  <c r="A560" i="21"/>
  <c r="AA559" i="21"/>
  <c r="B559" i="21"/>
  <c r="A559" i="21"/>
  <c r="AA558" i="21"/>
  <c r="B558" i="21"/>
  <c r="A558" i="21"/>
  <c r="V557" i="21"/>
  <c r="A557" i="21"/>
  <c r="AA556" i="21"/>
  <c r="B556" i="21"/>
  <c r="A556" i="21"/>
  <c r="AA555" i="21"/>
  <c r="B555" i="21"/>
  <c r="A555" i="21"/>
  <c r="AA554" i="21"/>
  <c r="B554" i="21"/>
  <c r="A554" i="21"/>
  <c r="AA553" i="21"/>
  <c r="B553" i="21"/>
  <c r="A553" i="21"/>
  <c r="AA552" i="21"/>
  <c r="B552" i="21"/>
  <c r="A552" i="21"/>
  <c r="AA551" i="21"/>
  <c r="B551" i="21"/>
  <c r="A551" i="21"/>
  <c r="AA550" i="21"/>
  <c r="B550" i="21"/>
  <c r="A550" i="21"/>
  <c r="AA549" i="21"/>
  <c r="B549" i="21"/>
  <c r="A549" i="21"/>
  <c r="AA548" i="21"/>
  <c r="B548" i="21"/>
  <c r="A548" i="21"/>
  <c r="AA547" i="21"/>
  <c r="B547" i="21"/>
  <c r="A547" i="21"/>
  <c r="AA546" i="21"/>
  <c r="B546" i="21"/>
  <c r="A546" i="21"/>
  <c r="AA545" i="21"/>
  <c r="B545" i="21"/>
  <c r="A545" i="21"/>
  <c r="AA544" i="21"/>
  <c r="B544" i="21"/>
  <c r="A544" i="21"/>
  <c r="AA543" i="21"/>
  <c r="B543" i="21"/>
  <c r="A543" i="21"/>
  <c r="AA542" i="21"/>
  <c r="B542" i="21"/>
  <c r="A542" i="21"/>
  <c r="AA541" i="21"/>
  <c r="B541" i="21"/>
  <c r="A541" i="21"/>
  <c r="AA540" i="21"/>
  <c r="B540" i="21"/>
  <c r="A540" i="21"/>
  <c r="AA539" i="21"/>
  <c r="B539" i="21"/>
  <c r="A539" i="21"/>
  <c r="AA538" i="21"/>
  <c r="B538" i="21"/>
  <c r="A538" i="21"/>
  <c r="AA537" i="21"/>
  <c r="B537" i="21"/>
  <c r="A537" i="21"/>
  <c r="AA536" i="21"/>
  <c r="B536" i="21"/>
  <c r="A536" i="21"/>
  <c r="AA535" i="21"/>
  <c r="B535" i="21"/>
  <c r="A535" i="21"/>
  <c r="AA534" i="21"/>
  <c r="B534" i="21"/>
  <c r="A534" i="21"/>
  <c r="AA533" i="21"/>
  <c r="B533" i="21"/>
  <c r="A533" i="21"/>
  <c r="V532" i="21"/>
  <c r="A532" i="21"/>
  <c r="AA531" i="21"/>
  <c r="B531" i="21"/>
  <c r="A531" i="21"/>
  <c r="AA530" i="21"/>
  <c r="B530" i="21"/>
  <c r="A530" i="21"/>
  <c r="V529" i="21"/>
  <c r="A529" i="21"/>
  <c r="V528" i="21"/>
  <c r="A528" i="21"/>
  <c r="AA527" i="21"/>
  <c r="B527" i="21"/>
  <c r="A527" i="21"/>
  <c r="AA526" i="21"/>
  <c r="B526" i="21"/>
  <c r="A526" i="21"/>
  <c r="AA525" i="21"/>
  <c r="B525" i="21"/>
  <c r="A525" i="21"/>
  <c r="AA524" i="21"/>
  <c r="B524" i="21"/>
  <c r="A524" i="21"/>
  <c r="AA523" i="21"/>
  <c r="B523" i="21"/>
  <c r="A523" i="21"/>
  <c r="AA522" i="21"/>
  <c r="B522" i="21"/>
  <c r="A522" i="21"/>
  <c r="AA521" i="21"/>
  <c r="B521" i="21"/>
  <c r="A521" i="21"/>
  <c r="AA520" i="21"/>
  <c r="B520" i="21"/>
  <c r="A520" i="21"/>
  <c r="AA519" i="21"/>
  <c r="B519" i="21"/>
  <c r="A519" i="21"/>
  <c r="AA518" i="21"/>
  <c r="B518" i="21"/>
  <c r="A518" i="21"/>
  <c r="AA517" i="21"/>
  <c r="B517" i="21"/>
  <c r="A517" i="21"/>
  <c r="AA516" i="21"/>
  <c r="B516" i="21"/>
  <c r="A516" i="21"/>
  <c r="AA515" i="21"/>
  <c r="B515" i="21"/>
  <c r="A515" i="21"/>
  <c r="AA514" i="21"/>
  <c r="B514" i="21"/>
  <c r="A514" i="21"/>
  <c r="AA513" i="21"/>
  <c r="B513" i="21"/>
  <c r="A513" i="21"/>
  <c r="AA512" i="21"/>
  <c r="B512" i="21"/>
  <c r="A512" i="21"/>
  <c r="AA511" i="21"/>
  <c r="B511" i="21"/>
  <c r="A511" i="21"/>
  <c r="AA510" i="21"/>
  <c r="B510" i="21"/>
  <c r="A510" i="21"/>
  <c r="AA509" i="21"/>
  <c r="B509" i="21"/>
  <c r="A509" i="21"/>
  <c r="AA508" i="21"/>
  <c r="B508" i="21"/>
  <c r="A508" i="21"/>
  <c r="AA507" i="21"/>
  <c r="B507" i="21"/>
  <c r="A507" i="21"/>
  <c r="AA506" i="21"/>
  <c r="B506" i="21"/>
  <c r="A506" i="21"/>
  <c r="AA505" i="21"/>
  <c r="B505" i="21"/>
  <c r="A505" i="21"/>
  <c r="AA504" i="21"/>
  <c r="B504" i="21"/>
  <c r="A504" i="21"/>
  <c r="AA503" i="21"/>
  <c r="B503" i="21"/>
  <c r="A503" i="21"/>
  <c r="AA502" i="21"/>
  <c r="B502" i="21"/>
  <c r="A502" i="21"/>
  <c r="AA501" i="21"/>
  <c r="B501" i="21"/>
  <c r="A501" i="21"/>
  <c r="AA500" i="21"/>
  <c r="B500" i="21"/>
  <c r="A500" i="21"/>
  <c r="AA499" i="21"/>
  <c r="B499" i="21"/>
  <c r="A499" i="21"/>
  <c r="AA498" i="21"/>
  <c r="B498" i="21"/>
  <c r="A498" i="21"/>
  <c r="AA497" i="21"/>
  <c r="B497" i="21"/>
  <c r="A497" i="21"/>
  <c r="AA496" i="21"/>
  <c r="B496" i="21"/>
  <c r="AA495" i="21"/>
  <c r="B495" i="21"/>
  <c r="A495" i="21"/>
  <c r="AA494" i="21"/>
  <c r="B494" i="21"/>
  <c r="A494" i="21"/>
  <c r="AA493" i="21"/>
  <c r="B493" i="21"/>
  <c r="A493" i="21"/>
  <c r="AA492" i="21"/>
  <c r="B492" i="21"/>
  <c r="A492" i="21"/>
  <c r="AA491" i="21"/>
  <c r="B491" i="21"/>
  <c r="A491" i="21"/>
  <c r="AA490" i="21"/>
  <c r="B490" i="21"/>
  <c r="A490" i="21"/>
  <c r="AA489" i="21"/>
  <c r="B489" i="21"/>
  <c r="A489" i="21"/>
  <c r="AA488" i="21"/>
  <c r="B488" i="21"/>
  <c r="A488" i="21"/>
  <c r="AA487" i="21"/>
  <c r="B487" i="21"/>
  <c r="A487" i="21"/>
  <c r="AA486" i="21"/>
  <c r="B486" i="21"/>
  <c r="A486" i="21"/>
  <c r="AA485" i="21"/>
  <c r="B485" i="21"/>
  <c r="A485" i="21"/>
  <c r="AA484" i="21"/>
  <c r="B484" i="21"/>
  <c r="A484" i="21"/>
  <c r="AA483" i="21"/>
  <c r="B483" i="21"/>
  <c r="A483" i="21"/>
  <c r="AA482" i="21"/>
  <c r="B482" i="21"/>
  <c r="A482" i="21"/>
  <c r="AA481" i="21"/>
  <c r="B481" i="21"/>
  <c r="A481" i="21"/>
  <c r="AA480" i="21"/>
  <c r="B480" i="21"/>
  <c r="A480" i="21"/>
  <c r="AA479" i="21"/>
  <c r="B479" i="21"/>
  <c r="A479" i="21"/>
  <c r="AA478" i="21"/>
  <c r="B478" i="21"/>
  <c r="A478" i="21"/>
  <c r="AA477" i="21"/>
  <c r="B477" i="21"/>
  <c r="A477" i="21"/>
  <c r="AA476" i="21"/>
  <c r="B476" i="21"/>
  <c r="A476" i="21"/>
  <c r="AA475" i="21"/>
  <c r="B475" i="21"/>
  <c r="A475" i="21"/>
  <c r="AA474" i="21"/>
  <c r="B474" i="21"/>
  <c r="A474" i="21"/>
  <c r="AA473" i="21"/>
  <c r="B473" i="21"/>
  <c r="A473" i="21"/>
  <c r="AA472" i="21"/>
  <c r="B472" i="21"/>
  <c r="A472" i="21"/>
  <c r="AA471" i="21"/>
  <c r="B471" i="21"/>
  <c r="A471" i="21"/>
  <c r="AA470" i="21"/>
  <c r="B470" i="21"/>
  <c r="A470" i="21"/>
  <c r="AA469" i="21"/>
  <c r="B469" i="21"/>
  <c r="A469" i="21"/>
  <c r="AA468" i="21"/>
  <c r="B468" i="21"/>
  <c r="A468" i="21"/>
  <c r="AA467" i="21"/>
  <c r="B467" i="21"/>
  <c r="A467" i="21"/>
  <c r="AA466" i="21"/>
  <c r="B466" i="21"/>
  <c r="A466" i="21"/>
  <c r="AA465" i="21"/>
  <c r="B465" i="21"/>
  <c r="A465" i="21"/>
  <c r="AA464" i="21"/>
  <c r="B464" i="21"/>
  <c r="A464" i="21"/>
  <c r="AA463" i="21"/>
  <c r="B463" i="21"/>
  <c r="A463" i="21"/>
  <c r="AA462" i="21"/>
  <c r="B462" i="21"/>
  <c r="A462" i="21"/>
  <c r="AA461" i="21"/>
  <c r="B461" i="21"/>
  <c r="A461" i="21"/>
  <c r="AA460" i="21"/>
  <c r="B460" i="21"/>
  <c r="A460" i="21"/>
  <c r="AA459" i="21"/>
  <c r="B459" i="21"/>
  <c r="A459" i="21"/>
  <c r="AA458" i="21"/>
  <c r="B458" i="21"/>
  <c r="A458" i="21"/>
  <c r="AA457" i="21"/>
  <c r="B457" i="21"/>
  <c r="A457" i="21"/>
  <c r="V456" i="21"/>
  <c r="A456" i="21"/>
  <c r="V455" i="21"/>
  <c r="A455" i="21"/>
  <c r="AA454" i="21"/>
  <c r="B454" i="21"/>
  <c r="A454" i="21"/>
  <c r="AA453" i="21"/>
  <c r="B453" i="21"/>
  <c r="A453" i="21"/>
  <c r="AA452" i="21"/>
  <c r="B452" i="21"/>
  <c r="A452" i="21"/>
  <c r="AA451" i="21"/>
  <c r="B451" i="21"/>
  <c r="A451" i="21"/>
  <c r="V450" i="21"/>
  <c r="A450" i="21"/>
  <c r="B449" i="21"/>
  <c r="A449" i="21"/>
  <c r="AA448" i="21"/>
  <c r="B448" i="21"/>
  <c r="A448" i="21"/>
  <c r="AA447" i="21"/>
  <c r="B447" i="21"/>
  <c r="A447" i="21"/>
  <c r="AA446" i="21"/>
  <c r="B446" i="21"/>
  <c r="A446" i="21"/>
  <c r="AA445" i="21"/>
  <c r="B445" i="21"/>
  <c r="A445" i="21"/>
  <c r="V444" i="21"/>
  <c r="A444" i="21"/>
  <c r="AA443" i="21"/>
  <c r="B443" i="21"/>
  <c r="A443" i="21"/>
  <c r="AA442" i="21"/>
  <c r="B442" i="21"/>
  <c r="A442" i="21"/>
  <c r="AA441" i="21"/>
  <c r="B441" i="21"/>
  <c r="A441" i="21"/>
  <c r="AA440" i="21"/>
  <c r="B440" i="21"/>
  <c r="A440" i="21"/>
  <c r="AA439" i="21"/>
  <c r="B439" i="21"/>
  <c r="A439" i="21"/>
  <c r="AA438" i="21"/>
  <c r="B438" i="21"/>
  <c r="A438" i="21"/>
  <c r="AA437" i="21"/>
  <c r="B437" i="21"/>
  <c r="A437" i="21"/>
  <c r="AA436" i="21"/>
  <c r="B436" i="21"/>
  <c r="A436" i="21"/>
  <c r="AA435" i="21"/>
  <c r="B435" i="21"/>
  <c r="A435" i="21"/>
  <c r="AA434" i="21"/>
  <c r="B434" i="21"/>
  <c r="A434" i="21"/>
  <c r="AA433" i="21"/>
  <c r="B433" i="21"/>
  <c r="A433" i="21"/>
  <c r="AA432" i="21"/>
  <c r="B432" i="21"/>
  <c r="A432" i="21"/>
  <c r="AA431" i="21"/>
  <c r="B431" i="21"/>
  <c r="A431" i="21"/>
  <c r="AA430" i="21"/>
  <c r="B430" i="21"/>
  <c r="A430" i="21"/>
  <c r="AA429" i="21"/>
  <c r="B429" i="21"/>
  <c r="A429" i="21"/>
  <c r="AA428" i="21"/>
  <c r="B428" i="21"/>
  <c r="A428" i="21"/>
  <c r="AA427" i="21"/>
  <c r="B427" i="21"/>
  <c r="A427" i="21"/>
  <c r="AA426" i="21"/>
  <c r="B426" i="21"/>
  <c r="A426" i="21"/>
  <c r="AA425" i="21"/>
  <c r="B425" i="21"/>
  <c r="A425" i="21"/>
  <c r="AA424" i="21"/>
  <c r="B424" i="21"/>
  <c r="A424" i="21"/>
  <c r="AA423" i="21"/>
  <c r="B423" i="21"/>
  <c r="A423" i="21"/>
  <c r="AA422" i="21"/>
  <c r="B422" i="21"/>
  <c r="AA421" i="21"/>
  <c r="B421" i="21"/>
  <c r="A421" i="21"/>
  <c r="AA420" i="21"/>
  <c r="B420" i="21"/>
  <c r="A420" i="21"/>
  <c r="AA419" i="21"/>
  <c r="B419" i="21"/>
  <c r="AA418" i="21"/>
  <c r="B418" i="21"/>
  <c r="A418" i="21"/>
  <c r="Q417" i="21"/>
  <c r="AA416" i="21"/>
  <c r="B416" i="21"/>
  <c r="A416" i="21"/>
  <c r="V415" i="21"/>
  <c r="A415" i="21"/>
  <c r="AA414" i="21"/>
  <c r="B414" i="21"/>
  <c r="AA413" i="21"/>
  <c r="B413" i="21"/>
  <c r="A413" i="21"/>
  <c r="AA412" i="21"/>
  <c r="B412" i="21"/>
  <c r="A412" i="21"/>
  <c r="AA411" i="21"/>
  <c r="B411" i="21"/>
  <c r="A411" i="21"/>
  <c r="AA410" i="21"/>
  <c r="B410" i="21"/>
  <c r="A410" i="21"/>
  <c r="AA409" i="21"/>
  <c r="B409" i="21"/>
  <c r="A409" i="21"/>
  <c r="AA408" i="21"/>
  <c r="B408" i="21"/>
  <c r="A408" i="21"/>
  <c r="AA407" i="21"/>
  <c r="B407" i="21"/>
  <c r="A407" i="21"/>
  <c r="AA406" i="21"/>
  <c r="B406" i="21"/>
  <c r="A406" i="21"/>
  <c r="AA405" i="21"/>
  <c r="B405" i="21"/>
  <c r="A405" i="21"/>
  <c r="V404" i="21"/>
  <c r="A404" i="21"/>
  <c r="AA403" i="21"/>
  <c r="B403" i="21"/>
  <c r="A403" i="21"/>
  <c r="AA402" i="21"/>
  <c r="B402" i="21"/>
  <c r="A402" i="21"/>
  <c r="AA401" i="21"/>
  <c r="B401" i="21"/>
  <c r="A401" i="21"/>
  <c r="AA400" i="21"/>
  <c r="B400" i="21"/>
  <c r="A400" i="21"/>
  <c r="AA399" i="21"/>
  <c r="B399" i="21"/>
  <c r="A399" i="21"/>
  <c r="AA398" i="21"/>
  <c r="B398" i="21"/>
  <c r="A398" i="21"/>
  <c r="AA397" i="21"/>
  <c r="B397" i="21"/>
  <c r="A397" i="21"/>
  <c r="AA396" i="21"/>
  <c r="B396" i="21"/>
  <c r="A396" i="21"/>
  <c r="AA395" i="21"/>
  <c r="B395" i="21"/>
  <c r="A395" i="21"/>
  <c r="AA394" i="21"/>
  <c r="B394" i="21"/>
  <c r="A394" i="21"/>
  <c r="AA393" i="21"/>
  <c r="B393" i="21"/>
  <c r="A393" i="21"/>
  <c r="AA392" i="21"/>
  <c r="B392" i="21"/>
  <c r="A392" i="21"/>
  <c r="AA391" i="21"/>
  <c r="B391" i="21"/>
  <c r="A391" i="21"/>
  <c r="AA390" i="21"/>
  <c r="B390" i="21"/>
  <c r="A390" i="21"/>
  <c r="AA389" i="21"/>
  <c r="B389" i="21"/>
  <c r="A389" i="21"/>
  <c r="AA388" i="21"/>
  <c r="B388" i="21"/>
  <c r="A388" i="21"/>
  <c r="AA387" i="21"/>
  <c r="B387" i="21"/>
  <c r="A387" i="21"/>
  <c r="AA386" i="21"/>
  <c r="B386" i="21"/>
  <c r="A386" i="21"/>
  <c r="AA385" i="21"/>
  <c r="B385" i="21"/>
  <c r="A385" i="21"/>
  <c r="AA384" i="21"/>
  <c r="B384" i="21"/>
  <c r="A384" i="21"/>
  <c r="AA383" i="21"/>
  <c r="B383" i="21"/>
  <c r="A383" i="21"/>
  <c r="AA382" i="21"/>
  <c r="B382" i="21"/>
  <c r="A382" i="21"/>
  <c r="AA381" i="21"/>
  <c r="B381" i="21"/>
  <c r="A381" i="21"/>
  <c r="AA380" i="21"/>
  <c r="B380" i="21"/>
  <c r="A380" i="21"/>
  <c r="AA379" i="21"/>
  <c r="B379" i="21"/>
  <c r="A379" i="21"/>
  <c r="AA378" i="21"/>
  <c r="B378" i="21"/>
  <c r="A378" i="21"/>
  <c r="AA377" i="21"/>
  <c r="B377" i="21"/>
  <c r="A377" i="21"/>
  <c r="AA376" i="21"/>
  <c r="B376" i="21"/>
  <c r="A376" i="21"/>
  <c r="AA375" i="21"/>
  <c r="B375" i="21"/>
  <c r="A375" i="21"/>
  <c r="V374" i="21"/>
  <c r="A374" i="21"/>
  <c r="AA373" i="21"/>
  <c r="B373" i="21"/>
  <c r="A373" i="21"/>
  <c r="AA372" i="21"/>
  <c r="B372" i="21"/>
  <c r="A372" i="21"/>
  <c r="AA371" i="21"/>
  <c r="B371" i="21"/>
  <c r="A371" i="21"/>
  <c r="AA370" i="21"/>
  <c r="B370" i="21"/>
  <c r="A370" i="21"/>
  <c r="AA369" i="21"/>
  <c r="B369" i="21"/>
  <c r="A369" i="21"/>
  <c r="AA368" i="21"/>
  <c r="B368" i="21"/>
  <c r="A368" i="21"/>
  <c r="AA367" i="21"/>
  <c r="B367" i="21"/>
  <c r="A367" i="21"/>
  <c r="AA366" i="21"/>
  <c r="B366" i="21"/>
  <c r="A366" i="21"/>
  <c r="AA365" i="21"/>
  <c r="B365" i="21"/>
  <c r="A365" i="21"/>
  <c r="AA364" i="21"/>
  <c r="B364" i="21"/>
  <c r="A364" i="21"/>
  <c r="AA363" i="21"/>
  <c r="B363" i="21"/>
  <c r="A363" i="21"/>
  <c r="V362" i="21"/>
  <c r="A362" i="21"/>
  <c r="AA361" i="21"/>
  <c r="B361" i="21"/>
  <c r="A361" i="21"/>
  <c r="V360" i="21"/>
  <c r="A360" i="21"/>
  <c r="AA359" i="21"/>
  <c r="B359" i="21"/>
  <c r="A359" i="21"/>
  <c r="AA358" i="21"/>
  <c r="B358" i="21"/>
  <c r="A358" i="21"/>
  <c r="V357" i="21"/>
  <c r="A357" i="21"/>
  <c r="AA356" i="21"/>
  <c r="B356" i="21"/>
  <c r="A356" i="21"/>
  <c r="AA355" i="21"/>
  <c r="B355" i="21"/>
  <c r="A355" i="21"/>
  <c r="AA354" i="21"/>
  <c r="B354" i="21"/>
  <c r="A354" i="21"/>
  <c r="Q353" i="21"/>
  <c r="AA352" i="21"/>
  <c r="B352" i="21"/>
  <c r="A352" i="21"/>
  <c r="AA351" i="21"/>
  <c r="B351" i="21"/>
  <c r="A351" i="21"/>
  <c r="AA350" i="21"/>
  <c r="B350" i="21"/>
  <c r="A350" i="21"/>
  <c r="V349" i="21"/>
  <c r="A349" i="21"/>
  <c r="V348" i="21"/>
  <c r="A348" i="21"/>
  <c r="V347" i="21"/>
  <c r="A347" i="21"/>
  <c r="AA346" i="21"/>
  <c r="B346" i="21"/>
  <c r="A346" i="21"/>
  <c r="AA345" i="21"/>
  <c r="B345" i="21"/>
  <c r="A345" i="21"/>
  <c r="AA344" i="21"/>
  <c r="B344" i="21"/>
  <c r="A344" i="21"/>
  <c r="AA343" i="21"/>
  <c r="B343" i="21"/>
  <c r="A343" i="21"/>
  <c r="AA342" i="21"/>
  <c r="B342" i="21"/>
  <c r="A342" i="21"/>
  <c r="AA341" i="21"/>
  <c r="B341" i="21"/>
  <c r="A341" i="21"/>
  <c r="AA340" i="21"/>
  <c r="B340" i="21"/>
  <c r="A340" i="21"/>
  <c r="AA339" i="21"/>
  <c r="B339" i="21"/>
  <c r="A339" i="21"/>
  <c r="AA338" i="21"/>
  <c r="B338" i="21"/>
  <c r="A338" i="21"/>
  <c r="AA337" i="21"/>
  <c r="B337" i="21"/>
  <c r="A337" i="21"/>
  <c r="AA336" i="21"/>
  <c r="B336" i="21"/>
  <c r="A336" i="21"/>
  <c r="AA335" i="21"/>
  <c r="B335" i="21"/>
  <c r="A335" i="21"/>
  <c r="AA334" i="21"/>
  <c r="B334" i="21"/>
  <c r="A334" i="21"/>
  <c r="AA333" i="21"/>
  <c r="B333" i="21"/>
  <c r="A333" i="21"/>
  <c r="V332" i="21"/>
  <c r="A332" i="21"/>
  <c r="AA331" i="21"/>
  <c r="B331" i="21"/>
  <c r="A331" i="21"/>
  <c r="V330" i="21"/>
  <c r="A330" i="21"/>
  <c r="AA329" i="21"/>
  <c r="B329" i="21"/>
  <c r="A329" i="21"/>
  <c r="AA328" i="21"/>
  <c r="B328" i="21"/>
  <c r="A328" i="21"/>
  <c r="AA327" i="21"/>
  <c r="B327" i="21"/>
  <c r="A327" i="21"/>
  <c r="AA326" i="21"/>
  <c r="B326" i="21"/>
  <c r="A326" i="21"/>
  <c r="AA325" i="21"/>
  <c r="B325" i="21"/>
  <c r="A325" i="21"/>
  <c r="AA324" i="21"/>
  <c r="B324" i="21"/>
  <c r="A324" i="21"/>
  <c r="AA323" i="21"/>
  <c r="B323" i="21"/>
  <c r="A323" i="21"/>
  <c r="AA322" i="21"/>
  <c r="B322" i="21"/>
  <c r="A322" i="21"/>
  <c r="AA321" i="21"/>
  <c r="B321" i="21"/>
  <c r="A321" i="21"/>
  <c r="AA320" i="21"/>
  <c r="B320" i="21"/>
  <c r="A320" i="21"/>
  <c r="AA319" i="21"/>
  <c r="B319" i="21"/>
  <c r="A319" i="21"/>
  <c r="AA318" i="21"/>
  <c r="B318" i="21"/>
  <c r="A318" i="21"/>
  <c r="AA317" i="21"/>
  <c r="B317" i="21"/>
  <c r="A317" i="21"/>
  <c r="AA316" i="21"/>
  <c r="B316" i="21"/>
  <c r="A316" i="21"/>
  <c r="AA315" i="21"/>
  <c r="B315" i="21"/>
  <c r="A315" i="21"/>
  <c r="AA314" i="21"/>
  <c r="B314" i="21"/>
  <c r="A314" i="21"/>
  <c r="AA313" i="21"/>
  <c r="B313" i="21"/>
  <c r="A313" i="21"/>
  <c r="AA312" i="21"/>
  <c r="B312" i="21"/>
  <c r="A312" i="21"/>
  <c r="AA311" i="21"/>
  <c r="B311" i="21"/>
  <c r="A311" i="21"/>
  <c r="AA310" i="21"/>
  <c r="B310" i="21"/>
  <c r="A310" i="21"/>
  <c r="AA309" i="21"/>
  <c r="B309" i="21"/>
  <c r="A309" i="21"/>
  <c r="AA308" i="21"/>
  <c r="B308" i="21"/>
  <c r="A308" i="21"/>
  <c r="AA307" i="21"/>
  <c r="B307" i="21"/>
  <c r="A307" i="21"/>
  <c r="AA306" i="21"/>
  <c r="B306" i="21"/>
  <c r="A306" i="21"/>
  <c r="AA305" i="21"/>
  <c r="B305" i="21"/>
  <c r="A305" i="21"/>
  <c r="AA304" i="21"/>
  <c r="B304" i="21"/>
  <c r="A304" i="21"/>
  <c r="AA303" i="21"/>
  <c r="B303" i="21"/>
  <c r="A303" i="21"/>
  <c r="AA302" i="21"/>
  <c r="B302" i="21"/>
  <c r="A302" i="21"/>
  <c r="V301" i="21"/>
  <c r="A301" i="21"/>
  <c r="V300" i="21"/>
  <c r="A300" i="21"/>
  <c r="V299" i="21"/>
  <c r="A299" i="21"/>
  <c r="V298" i="21"/>
  <c r="A298" i="21"/>
  <c r="V297" i="21"/>
  <c r="A297" i="21"/>
  <c r="V296" i="21"/>
  <c r="A296" i="21"/>
  <c r="V295" i="21"/>
  <c r="A295" i="21"/>
  <c r="V294" i="21"/>
  <c r="A294" i="21"/>
  <c r="A293" i="21"/>
  <c r="V292" i="21"/>
  <c r="A292" i="21"/>
  <c r="V291" i="21"/>
  <c r="A291" i="21"/>
  <c r="AA290" i="21"/>
  <c r="B290" i="21"/>
  <c r="A290" i="21"/>
  <c r="V289" i="21"/>
  <c r="A289" i="21"/>
  <c r="AA288" i="21"/>
  <c r="B288" i="21"/>
  <c r="A288" i="21"/>
  <c r="AA287" i="21"/>
  <c r="B287" i="21"/>
  <c r="A287" i="21"/>
  <c r="AA286" i="21"/>
  <c r="B286" i="21"/>
  <c r="A286" i="21"/>
  <c r="V285" i="21"/>
  <c r="A285" i="21"/>
  <c r="AA284" i="21"/>
  <c r="B284" i="21"/>
  <c r="A284" i="21"/>
  <c r="AA283" i="21"/>
  <c r="B283" i="21"/>
  <c r="A283" i="21"/>
  <c r="AA282" i="21"/>
  <c r="B282" i="21"/>
  <c r="A282" i="21"/>
  <c r="AA281" i="21"/>
  <c r="B281" i="21"/>
  <c r="A281" i="21"/>
  <c r="AA280" i="21"/>
  <c r="B280" i="21"/>
  <c r="A280" i="21"/>
  <c r="V279" i="21"/>
  <c r="A279" i="21"/>
  <c r="AA278" i="21"/>
  <c r="B278" i="21"/>
  <c r="A278" i="21"/>
  <c r="AA277" i="21"/>
  <c r="B277" i="21"/>
  <c r="A277" i="21"/>
  <c r="AA276" i="21"/>
  <c r="B276" i="21"/>
  <c r="A276" i="21"/>
  <c r="AA275" i="21"/>
  <c r="B275" i="21"/>
  <c r="A275" i="21"/>
  <c r="AA274" i="21"/>
  <c r="B274" i="21"/>
  <c r="A274" i="21"/>
  <c r="AA273" i="21"/>
  <c r="B273" i="21"/>
  <c r="A273" i="21"/>
  <c r="AA272" i="21"/>
  <c r="B272" i="21"/>
  <c r="A272" i="21"/>
  <c r="V271" i="21"/>
  <c r="A271" i="21"/>
  <c r="AA270" i="21"/>
  <c r="B270" i="21"/>
  <c r="A270" i="21"/>
  <c r="AA269" i="21"/>
  <c r="B269" i="21"/>
  <c r="A269" i="21"/>
  <c r="V268" i="21"/>
  <c r="A268" i="21"/>
  <c r="AA267" i="21"/>
  <c r="B267" i="21"/>
  <c r="A267" i="21"/>
  <c r="AA266" i="21"/>
  <c r="B266" i="21"/>
  <c r="A266" i="21"/>
  <c r="AA265" i="21"/>
  <c r="B265" i="21"/>
  <c r="A265" i="21"/>
  <c r="AA264" i="21"/>
  <c r="B264" i="21"/>
  <c r="A264" i="21"/>
  <c r="AA263" i="21"/>
  <c r="B263" i="21"/>
  <c r="A263" i="21"/>
  <c r="V262" i="21"/>
  <c r="A262" i="21"/>
  <c r="V261" i="21"/>
  <c r="A261" i="21"/>
  <c r="AA260" i="21"/>
  <c r="B260" i="21"/>
  <c r="A260" i="21"/>
  <c r="AA259" i="21"/>
  <c r="B259" i="21"/>
  <c r="A259" i="21"/>
  <c r="AA258" i="21"/>
  <c r="B258" i="21"/>
  <c r="A258" i="21"/>
  <c r="V257" i="21"/>
  <c r="A257" i="21"/>
  <c r="V256" i="21"/>
  <c r="A256" i="21"/>
  <c r="V255" i="21"/>
  <c r="A255" i="21"/>
  <c r="V254" i="21"/>
  <c r="A254" i="21"/>
  <c r="V253" i="21"/>
  <c r="A253" i="21"/>
  <c r="V252" i="21"/>
  <c r="A252" i="21"/>
  <c r="V251" i="21"/>
  <c r="A251" i="21"/>
  <c r="V250" i="21"/>
  <c r="A250" i="21"/>
  <c r="AA249" i="21"/>
  <c r="B249" i="21"/>
  <c r="A249" i="21"/>
  <c r="AA248" i="21"/>
  <c r="B248" i="21"/>
  <c r="A248" i="21"/>
  <c r="V247" i="21"/>
  <c r="A247" i="21"/>
  <c r="AA246" i="21"/>
  <c r="B246" i="21"/>
  <c r="A246" i="21"/>
  <c r="AA245" i="21"/>
  <c r="B245" i="21"/>
  <c r="A245" i="21"/>
  <c r="V244" i="21"/>
  <c r="A244" i="21"/>
  <c r="V243" i="21"/>
  <c r="A243" i="21"/>
  <c r="AA242" i="21"/>
  <c r="B242" i="21"/>
  <c r="A242" i="21"/>
  <c r="AA241" i="21"/>
  <c r="B241" i="21"/>
  <c r="A241" i="21"/>
  <c r="AA240" i="21"/>
  <c r="B240" i="21"/>
  <c r="A240" i="21"/>
  <c r="V239" i="21"/>
  <c r="A239" i="21"/>
  <c r="AA238" i="21"/>
  <c r="B238" i="21"/>
  <c r="A238" i="21"/>
  <c r="AA237" i="21"/>
  <c r="B237" i="21"/>
  <c r="A237" i="21"/>
  <c r="AA236" i="21"/>
  <c r="B236" i="21"/>
  <c r="A236" i="21"/>
  <c r="AA235" i="21"/>
  <c r="B235" i="21"/>
  <c r="A235" i="21"/>
  <c r="AA234" i="21"/>
  <c r="B234" i="21"/>
  <c r="A234" i="21"/>
  <c r="AA233" i="21"/>
  <c r="B233" i="21"/>
  <c r="A233" i="21"/>
  <c r="AA232" i="21"/>
  <c r="B232" i="21"/>
  <c r="A232" i="21"/>
  <c r="AA231" i="21"/>
  <c r="B231" i="21"/>
  <c r="A231" i="21"/>
  <c r="AA230" i="21"/>
  <c r="B230" i="21"/>
  <c r="A230" i="21"/>
  <c r="AA229" i="21"/>
  <c r="B229" i="21"/>
  <c r="A229" i="21"/>
  <c r="AA228" i="21"/>
  <c r="B228" i="21"/>
  <c r="A228" i="21"/>
  <c r="AA227" i="21"/>
  <c r="B227" i="21"/>
  <c r="A227" i="21"/>
  <c r="AA226" i="21"/>
  <c r="B226" i="21"/>
  <c r="AA225" i="21"/>
  <c r="B225" i="21"/>
  <c r="A225" i="21"/>
  <c r="AA224" i="21"/>
  <c r="B224" i="21"/>
  <c r="A224" i="21"/>
  <c r="AA223" i="21"/>
  <c r="B223" i="21"/>
  <c r="A223" i="21"/>
  <c r="AA222" i="21"/>
  <c r="B222" i="21"/>
  <c r="A222" i="21"/>
  <c r="AA221" i="21"/>
  <c r="B221" i="21"/>
  <c r="A221" i="21"/>
  <c r="Q220" i="21"/>
  <c r="Q219" i="21"/>
  <c r="AA218" i="21"/>
  <c r="B218" i="21"/>
  <c r="A218" i="21"/>
  <c r="AA217" i="21"/>
  <c r="B217" i="21"/>
  <c r="A217" i="21"/>
  <c r="AA216" i="21"/>
  <c r="B216" i="21"/>
  <c r="A216" i="21"/>
  <c r="AA215" i="21"/>
  <c r="B215" i="21"/>
  <c r="A215" i="21"/>
  <c r="AA214" i="21"/>
  <c r="B214" i="21"/>
  <c r="A214" i="21"/>
  <c r="AA213" i="21"/>
  <c r="B213" i="21"/>
  <c r="A213" i="21"/>
  <c r="AA212" i="21"/>
  <c r="B212" i="21"/>
  <c r="A212" i="21"/>
  <c r="AA211" i="21"/>
  <c r="B211" i="21"/>
  <c r="A211" i="21"/>
  <c r="V210" i="21"/>
  <c r="A210" i="21"/>
  <c r="AA209" i="21"/>
  <c r="B209" i="21"/>
  <c r="A209" i="21"/>
  <c r="AA208" i="21"/>
  <c r="B208" i="21"/>
  <c r="A208" i="21"/>
  <c r="AA207" i="21"/>
  <c r="B207" i="21"/>
  <c r="A207" i="21"/>
  <c r="AA206" i="21"/>
  <c r="B206" i="21"/>
  <c r="A206" i="21"/>
  <c r="AA205" i="21"/>
  <c r="B205" i="21"/>
  <c r="A205" i="21"/>
  <c r="AA204" i="21"/>
  <c r="B204" i="21"/>
  <c r="A204" i="21"/>
  <c r="AA203" i="21"/>
  <c r="B203" i="21"/>
  <c r="A203" i="21"/>
  <c r="V202" i="21"/>
  <c r="A202" i="21"/>
  <c r="AA201" i="21"/>
  <c r="B201" i="21"/>
  <c r="A201" i="21"/>
  <c r="AA200" i="21"/>
  <c r="B200" i="21"/>
  <c r="A200" i="21"/>
  <c r="AA199" i="21"/>
  <c r="B199" i="21"/>
  <c r="AA198" i="21"/>
  <c r="B198" i="21"/>
  <c r="A198" i="21"/>
  <c r="AA197" i="21"/>
  <c r="B197" i="21"/>
  <c r="A197" i="21"/>
  <c r="AA196" i="21"/>
  <c r="B196" i="21"/>
  <c r="A196" i="21"/>
  <c r="AA195" i="21"/>
  <c r="B195" i="21"/>
  <c r="A195" i="21"/>
  <c r="AA194" i="21"/>
  <c r="B194" i="21"/>
  <c r="A194" i="21"/>
  <c r="AA193" i="21"/>
  <c r="B193" i="21"/>
  <c r="A193" i="21"/>
  <c r="AA192" i="21"/>
  <c r="B192" i="21"/>
  <c r="A192" i="21"/>
  <c r="AA191" i="21"/>
  <c r="B191" i="21"/>
  <c r="A191" i="21"/>
  <c r="AA190" i="21"/>
  <c r="B190" i="21"/>
  <c r="A190" i="21"/>
  <c r="AA189" i="21"/>
  <c r="B189" i="21"/>
  <c r="A189" i="21"/>
  <c r="AA188" i="21"/>
  <c r="B188" i="21"/>
  <c r="A188" i="21"/>
  <c r="AA187" i="21"/>
  <c r="B187" i="21"/>
  <c r="A187" i="21"/>
  <c r="AA186" i="21"/>
  <c r="B186" i="21"/>
  <c r="A186" i="21"/>
  <c r="V185" i="21"/>
  <c r="A185" i="21"/>
  <c r="AA184" i="21"/>
  <c r="B184" i="21"/>
  <c r="A184" i="21"/>
  <c r="AA183" i="21"/>
  <c r="B183" i="21"/>
  <c r="A183" i="21"/>
  <c r="AA182" i="21"/>
  <c r="B182" i="21"/>
  <c r="A182" i="21"/>
  <c r="AA181" i="21"/>
  <c r="B181" i="21"/>
  <c r="A181" i="21"/>
  <c r="AA180" i="21"/>
  <c r="B180" i="21"/>
  <c r="A180" i="21"/>
  <c r="AA179" i="21"/>
  <c r="B179" i="21"/>
  <c r="A179" i="21"/>
  <c r="AA178" i="21"/>
  <c r="B178" i="21"/>
  <c r="A178" i="21"/>
  <c r="AA177" i="21"/>
  <c r="B177" i="21"/>
  <c r="A177" i="21"/>
  <c r="AA176" i="21"/>
  <c r="B176" i="21"/>
  <c r="A176" i="21"/>
  <c r="AA175" i="21"/>
  <c r="B175" i="21"/>
  <c r="AA174" i="21"/>
  <c r="B174" i="21"/>
  <c r="A174" i="21"/>
  <c r="AA173" i="21"/>
  <c r="B173" i="21"/>
  <c r="A173" i="21"/>
  <c r="AA172" i="21"/>
  <c r="B172" i="21"/>
  <c r="A172" i="21"/>
  <c r="AA171" i="21"/>
  <c r="B171" i="21"/>
  <c r="A171" i="21"/>
  <c r="V170" i="21"/>
  <c r="A170" i="21"/>
  <c r="AA169" i="21"/>
  <c r="B169" i="21"/>
  <c r="A169" i="21"/>
  <c r="AA168" i="21"/>
  <c r="B168" i="21"/>
  <c r="A168" i="21"/>
  <c r="AA167" i="21"/>
  <c r="B167" i="21"/>
  <c r="A167" i="21"/>
  <c r="AA166" i="21"/>
  <c r="B166" i="21"/>
  <c r="A166" i="21"/>
  <c r="AA165" i="21"/>
  <c r="B165" i="21"/>
  <c r="A165" i="21"/>
  <c r="AA164" i="21"/>
  <c r="B164" i="21"/>
  <c r="A164" i="21"/>
  <c r="AA163" i="21"/>
  <c r="B163" i="21"/>
  <c r="A163" i="21"/>
  <c r="AA162" i="21"/>
  <c r="B162" i="21"/>
  <c r="A162" i="21"/>
  <c r="AA161" i="21"/>
  <c r="B161" i="21"/>
  <c r="A161" i="21"/>
  <c r="V160" i="21"/>
  <c r="A160" i="21"/>
  <c r="V159" i="21"/>
  <c r="A159" i="21"/>
  <c r="V158" i="21"/>
  <c r="A158" i="21"/>
  <c r="V157" i="21"/>
  <c r="A157" i="21"/>
  <c r="V156" i="21"/>
  <c r="A156" i="21"/>
  <c r="B155" i="21"/>
  <c r="A155" i="21"/>
  <c r="V154" i="21"/>
  <c r="A154" i="21"/>
  <c r="AA153" i="21"/>
  <c r="B153" i="21"/>
  <c r="A153" i="21"/>
  <c r="AA152" i="21"/>
  <c r="B152" i="21"/>
  <c r="A152" i="21"/>
  <c r="AA151" i="21"/>
  <c r="B151" i="21"/>
  <c r="A151" i="21"/>
  <c r="AA150" i="21"/>
  <c r="B150" i="21"/>
  <c r="A150" i="21"/>
  <c r="AA149" i="21"/>
  <c r="B149" i="21"/>
  <c r="A149" i="21"/>
  <c r="AA148" i="21"/>
  <c r="B148" i="21"/>
  <c r="A148" i="21"/>
  <c r="AA147" i="21"/>
  <c r="B147" i="21"/>
  <c r="A147" i="21"/>
  <c r="V146" i="21"/>
  <c r="A146" i="21"/>
  <c r="V145" i="21"/>
  <c r="A145" i="21"/>
  <c r="B144" i="21"/>
  <c r="A144" i="21"/>
  <c r="V143" i="21"/>
  <c r="A143" i="21"/>
  <c r="V142" i="21"/>
  <c r="A142" i="21"/>
  <c r="V141" i="21"/>
  <c r="A141" i="21"/>
  <c r="AA140" i="21"/>
  <c r="B140" i="21"/>
  <c r="A140" i="21"/>
  <c r="AA139" i="21"/>
  <c r="B139" i="21"/>
  <c r="A139" i="21"/>
  <c r="V138" i="21"/>
  <c r="A138" i="21"/>
  <c r="AA137" i="21"/>
  <c r="B137" i="21"/>
  <c r="A137" i="21"/>
  <c r="AA136" i="21"/>
  <c r="B136" i="21"/>
  <c r="A136" i="21"/>
  <c r="Q135" i="21"/>
  <c r="AA134" i="21"/>
  <c r="B134" i="21"/>
  <c r="A134" i="21"/>
  <c r="V133" i="21"/>
  <c r="A133" i="21"/>
  <c r="AA132" i="21"/>
  <c r="B132" i="21"/>
  <c r="A132" i="21"/>
  <c r="AA131" i="21"/>
  <c r="B131" i="21"/>
  <c r="A131" i="21"/>
  <c r="AA130" i="21"/>
  <c r="B130" i="21"/>
  <c r="A130" i="21"/>
  <c r="AA129" i="21"/>
  <c r="B129" i="21"/>
  <c r="A129" i="21"/>
  <c r="AA128" i="21"/>
  <c r="B128" i="21"/>
  <c r="A128" i="21"/>
  <c r="V127" i="21"/>
  <c r="A127" i="21"/>
  <c r="V126" i="21"/>
  <c r="A126" i="21"/>
  <c r="V125" i="21"/>
  <c r="A125" i="21"/>
  <c r="V124" i="21"/>
  <c r="A124" i="21"/>
  <c r="V123" i="21"/>
  <c r="A123" i="21"/>
  <c r="V122" i="21"/>
  <c r="A122" i="21"/>
  <c r="AA121" i="21"/>
  <c r="B121" i="21"/>
  <c r="A121" i="21"/>
  <c r="AA120" i="21"/>
  <c r="B120" i="21"/>
  <c r="A120" i="21"/>
  <c r="AA119" i="21"/>
  <c r="B119" i="21"/>
  <c r="A119" i="21"/>
  <c r="AA118" i="21"/>
  <c r="B118" i="21"/>
  <c r="A118" i="21"/>
  <c r="AA117" i="21"/>
  <c r="B117" i="21"/>
  <c r="A117" i="21"/>
  <c r="AA116" i="21"/>
  <c r="B116" i="21"/>
  <c r="A116" i="21"/>
  <c r="AA115" i="21"/>
  <c r="B115" i="21"/>
  <c r="A115" i="21"/>
  <c r="V114" i="21"/>
  <c r="A114" i="21"/>
  <c r="V113" i="21"/>
  <c r="A113" i="21"/>
  <c r="V112" i="21"/>
  <c r="A112" i="21"/>
  <c r="V111" i="21"/>
  <c r="A111" i="21"/>
  <c r="V110" i="21"/>
  <c r="A110" i="21"/>
  <c r="V109" i="21"/>
  <c r="A109" i="21"/>
  <c r="V108" i="21"/>
  <c r="A108" i="21"/>
  <c r="V107" i="21"/>
  <c r="A107" i="21"/>
  <c r="V106" i="21"/>
  <c r="A106" i="21"/>
  <c r="AA105" i="21"/>
  <c r="B105" i="21"/>
  <c r="A105" i="21"/>
  <c r="AA104" i="21"/>
  <c r="B104" i="21"/>
  <c r="A104" i="21"/>
  <c r="AA103" i="21"/>
  <c r="B103" i="21"/>
  <c r="A103" i="21"/>
  <c r="AA102" i="21"/>
  <c r="B102" i="21"/>
  <c r="A102" i="21"/>
  <c r="AA101" i="21"/>
  <c r="B101" i="21"/>
  <c r="A101" i="21"/>
  <c r="V100" i="21"/>
  <c r="A100" i="21"/>
  <c r="AA99" i="21"/>
  <c r="B99" i="21"/>
  <c r="A99" i="21"/>
  <c r="AA98" i="21"/>
  <c r="B98" i="21"/>
  <c r="A98" i="21"/>
  <c r="AA97" i="21"/>
  <c r="B97" i="21"/>
  <c r="A97" i="21"/>
  <c r="AA96" i="21"/>
  <c r="B96" i="21"/>
  <c r="A96" i="21"/>
  <c r="AA95" i="21"/>
  <c r="B95" i="21"/>
  <c r="A95" i="21"/>
  <c r="V94" i="21"/>
  <c r="A94" i="21"/>
  <c r="AA93" i="21"/>
  <c r="B93" i="21"/>
  <c r="A93" i="21"/>
  <c r="AA92" i="21"/>
  <c r="B92" i="21"/>
  <c r="A92" i="21"/>
  <c r="AA91" i="21"/>
  <c r="B91" i="21"/>
  <c r="A91" i="21"/>
  <c r="AA90" i="21"/>
  <c r="B90" i="21"/>
  <c r="A90" i="21"/>
  <c r="AA89" i="21"/>
  <c r="B89" i="21"/>
  <c r="A89" i="21"/>
  <c r="AA88" i="21"/>
  <c r="B88" i="21"/>
  <c r="A88" i="21"/>
  <c r="AA87" i="21"/>
  <c r="B87" i="21"/>
  <c r="A87" i="21"/>
  <c r="AA86" i="21"/>
  <c r="B86" i="21"/>
  <c r="A86" i="21"/>
  <c r="AA85" i="21"/>
  <c r="B85" i="21"/>
  <c r="A85" i="21"/>
  <c r="AA84" i="21"/>
  <c r="B84" i="21"/>
  <c r="A84" i="21"/>
  <c r="AA83" i="21"/>
  <c r="B83" i="21"/>
  <c r="A83" i="21"/>
  <c r="AA82" i="21"/>
  <c r="B82" i="21"/>
  <c r="A82" i="21"/>
  <c r="AA81" i="21"/>
  <c r="B81" i="21"/>
  <c r="A81" i="21"/>
  <c r="AA80" i="21"/>
  <c r="B80" i="21"/>
  <c r="A80" i="21"/>
  <c r="AA79" i="21"/>
  <c r="B79" i="21"/>
  <c r="A79" i="21"/>
  <c r="AA78" i="21"/>
  <c r="B78" i="21"/>
  <c r="A78" i="21"/>
  <c r="AA77" i="21"/>
  <c r="B77" i="21"/>
  <c r="A77" i="21"/>
  <c r="AA76" i="21"/>
  <c r="B76" i="21"/>
  <c r="A76" i="21"/>
  <c r="AA75" i="21"/>
  <c r="B75" i="21"/>
  <c r="A75" i="21"/>
  <c r="AA74" i="21"/>
  <c r="B74" i="21"/>
  <c r="A74" i="21"/>
  <c r="AA73" i="21"/>
  <c r="B73" i="21"/>
  <c r="A73" i="21"/>
  <c r="AA72" i="21"/>
  <c r="B72" i="21"/>
  <c r="A72" i="21"/>
  <c r="AA71" i="21"/>
  <c r="B71" i="21"/>
  <c r="A71" i="21"/>
  <c r="AA70" i="21"/>
  <c r="B70" i="21"/>
  <c r="A70" i="21"/>
  <c r="AA69" i="21"/>
  <c r="B69" i="21"/>
  <c r="A69" i="21"/>
  <c r="AA68" i="21"/>
  <c r="B68" i="21"/>
  <c r="A68" i="21"/>
  <c r="AA67" i="21"/>
  <c r="B67" i="21"/>
  <c r="A67" i="21"/>
  <c r="AA66" i="21"/>
  <c r="B66" i="21"/>
  <c r="A66" i="21"/>
  <c r="AA65" i="21"/>
  <c r="B65" i="21"/>
  <c r="A65" i="21"/>
  <c r="AA64" i="21"/>
  <c r="B64" i="21"/>
  <c r="A64" i="21"/>
  <c r="AA63" i="21"/>
  <c r="B63" i="21"/>
  <c r="A63" i="21"/>
  <c r="AA62" i="21"/>
  <c r="B62" i="21"/>
  <c r="A62" i="21"/>
  <c r="AA61" i="21"/>
  <c r="B61" i="21"/>
  <c r="A61" i="21"/>
  <c r="V60" i="21"/>
  <c r="A60" i="21"/>
  <c r="AA59" i="21"/>
  <c r="B59" i="21"/>
  <c r="A59" i="21"/>
  <c r="AA58" i="21"/>
  <c r="B58" i="21"/>
  <c r="A58" i="21"/>
  <c r="AA57" i="21"/>
  <c r="B57" i="21"/>
  <c r="A57" i="21"/>
  <c r="AA56" i="21"/>
  <c r="B56" i="21"/>
  <c r="A56" i="21"/>
  <c r="V55" i="21"/>
  <c r="A55" i="21"/>
  <c r="V54" i="21"/>
  <c r="A54" i="21"/>
  <c r="V53" i="21"/>
  <c r="A53" i="21"/>
  <c r="V52" i="21"/>
  <c r="A52" i="21"/>
  <c r="AA51" i="21"/>
  <c r="B51" i="21"/>
  <c r="A51" i="21"/>
  <c r="AA50" i="21"/>
  <c r="B50" i="21"/>
  <c r="A50" i="21"/>
  <c r="AA49" i="21"/>
  <c r="B49" i="21"/>
  <c r="A49" i="21"/>
  <c r="AA48" i="21"/>
  <c r="B48" i="21"/>
  <c r="A48" i="21"/>
  <c r="AA47" i="21"/>
  <c r="B47" i="21"/>
  <c r="A47" i="21"/>
  <c r="AA46" i="21"/>
  <c r="B46" i="21"/>
  <c r="A46" i="21"/>
  <c r="AA45" i="21"/>
  <c r="B45" i="21"/>
  <c r="A45" i="21"/>
  <c r="AA44" i="21"/>
  <c r="B44" i="21"/>
  <c r="A44" i="21"/>
  <c r="AA43" i="21"/>
  <c r="B43" i="21"/>
  <c r="A43" i="21"/>
  <c r="AA42" i="21"/>
  <c r="B42" i="21"/>
  <c r="A42" i="21"/>
  <c r="AA41" i="21"/>
  <c r="B41" i="21"/>
  <c r="A41" i="21"/>
  <c r="AA40" i="21"/>
  <c r="B40" i="21"/>
  <c r="A40" i="21"/>
  <c r="AA39" i="21"/>
  <c r="B39" i="21"/>
  <c r="A39" i="21"/>
  <c r="AA38" i="21"/>
  <c r="B38" i="21"/>
  <c r="A38" i="21"/>
  <c r="AA37" i="21"/>
  <c r="B37" i="21"/>
  <c r="A37" i="21"/>
  <c r="AA36" i="21"/>
  <c r="B36" i="21"/>
  <c r="A36" i="21"/>
  <c r="AA35" i="21"/>
  <c r="B35" i="21"/>
  <c r="A35" i="21"/>
  <c r="AA34" i="21"/>
  <c r="B34" i="21"/>
  <c r="A34" i="21"/>
  <c r="AA33" i="21"/>
  <c r="B33" i="21"/>
  <c r="A33" i="21"/>
  <c r="V32" i="21"/>
  <c r="A32" i="21"/>
  <c r="AA31" i="21"/>
  <c r="B31" i="21"/>
  <c r="A31" i="21"/>
  <c r="AA30" i="21"/>
  <c r="B30" i="21"/>
  <c r="A30" i="21"/>
  <c r="AA29" i="21"/>
  <c r="B29" i="21"/>
  <c r="A29" i="21"/>
  <c r="AA28" i="21"/>
  <c r="B28" i="21"/>
  <c r="A28" i="21"/>
  <c r="AA27" i="21"/>
  <c r="B27" i="21"/>
  <c r="A27" i="21"/>
  <c r="AA26" i="21"/>
  <c r="B26" i="21"/>
  <c r="A26" i="21"/>
  <c r="AA25" i="21"/>
  <c r="B25" i="21"/>
  <c r="A25" i="21"/>
  <c r="AA24" i="21"/>
  <c r="B24" i="21"/>
  <c r="A24" i="21"/>
  <c r="AA23" i="21"/>
  <c r="B23" i="21"/>
  <c r="A23" i="21"/>
  <c r="AA22" i="21"/>
  <c r="B22" i="21"/>
  <c r="A22" i="21"/>
  <c r="AA21" i="21"/>
  <c r="B21" i="21"/>
  <c r="A21" i="21"/>
  <c r="AA20" i="21"/>
  <c r="B20" i="21"/>
  <c r="A20" i="21"/>
  <c r="AA19" i="21"/>
  <c r="B19" i="21"/>
  <c r="A19" i="21"/>
  <c r="AA18" i="21"/>
  <c r="B18" i="21"/>
  <c r="A18" i="21"/>
  <c r="AA17" i="21"/>
  <c r="B17" i="21"/>
  <c r="A17" i="21"/>
  <c r="AA16" i="21"/>
  <c r="B16" i="21"/>
  <c r="A16" i="21"/>
  <c r="AA15" i="21"/>
  <c r="B15" i="21"/>
  <c r="A15" i="21"/>
  <c r="AA14" i="21"/>
  <c r="B14" i="21"/>
  <c r="A14" i="21"/>
  <c r="AA13" i="21"/>
  <c r="B13" i="21"/>
  <c r="A13" i="21"/>
  <c r="AA12" i="21"/>
  <c r="B12" i="21"/>
  <c r="A12" i="21"/>
  <c r="AA11" i="21"/>
  <c r="B11" i="21"/>
  <c r="A11" i="21"/>
  <c r="AA10" i="21"/>
  <c r="B10" i="21"/>
  <c r="A10" i="21"/>
  <c r="AA9" i="21"/>
  <c r="B9" i="21"/>
  <c r="A9" i="21"/>
  <c r="AA8" i="21"/>
  <c r="B8" i="21"/>
  <c r="A8" i="21"/>
  <c r="AA7" i="21"/>
  <c r="B7" i="21"/>
  <c r="A7" i="21"/>
  <c r="AA6" i="21"/>
  <c r="B6" i="21"/>
  <c r="A6" i="21"/>
  <c r="AA5" i="21"/>
  <c r="B5" i="21"/>
  <c r="A5" i="21"/>
  <c r="AA4" i="21"/>
  <c r="B4" i="21"/>
  <c r="A4" i="21"/>
  <c r="AA3" i="21"/>
  <c r="B3" i="21"/>
  <c r="A3" i="21"/>
  <c r="AA2" i="21"/>
  <c r="B2" i="21"/>
  <c r="A2" i="21"/>
  <c r="H19" i="1"/>
  <c r="G19" i="1"/>
  <c r="J126" i="2" l="1"/>
  <c r="E16" i="1" s="1"/>
  <c r="J166" i="2"/>
  <c r="E22" i="1" s="1"/>
  <c r="J118" i="2"/>
  <c r="E15" i="1" s="1"/>
  <c r="J14" i="2"/>
  <c r="E5" i="1" s="1"/>
  <c r="J86" i="2"/>
  <c r="E14" i="1" s="1"/>
  <c r="I16" i="1"/>
  <c r="G16" i="1"/>
  <c r="G23" i="1"/>
  <c r="G18" i="1"/>
  <c r="J22" i="2"/>
  <c r="E6" i="1" s="1"/>
  <c r="J30" i="2"/>
  <c r="E7" i="1" s="1"/>
  <c r="J38" i="2"/>
  <c r="E8" i="1" s="1"/>
  <c r="J46" i="2"/>
  <c r="E9" i="1" s="1"/>
  <c r="J54" i="2"/>
  <c r="E10" i="1" s="1"/>
  <c r="J62" i="2"/>
  <c r="E11" i="1" s="1"/>
  <c r="J70" i="2"/>
  <c r="E12" i="1" s="1"/>
  <c r="J78" i="2"/>
  <c r="E13" i="1" s="1"/>
  <c r="I13" i="1" s="1"/>
  <c r="J134" i="2"/>
  <c r="J142" i="2"/>
  <c r="E18" i="1" s="1"/>
  <c r="J150" i="2"/>
  <c r="E20" i="1" s="1"/>
  <c r="I20" i="1" s="1"/>
  <c r="J158" i="2"/>
  <c r="E21" i="1" s="1"/>
  <c r="I21" i="1" s="1"/>
  <c r="G7" i="1"/>
  <c r="H14" i="1"/>
  <c r="G21" i="1"/>
  <c r="H9" i="1"/>
  <c r="D24" i="1"/>
  <c r="G11" i="1"/>
  <c r="I17" i="1"/>
  <c r="G17" i="1"/>
  <c r="G5" i="1"/>
  <c r="C24" i="1"/>
  <c r="G6" i="1"/>
  <c r="I6" i="1"/>
  <c r="G8" i="1"/>
  <c r="I8" i="1"/>
  <c r="H13" i="1"/>
  <c r="I10" i="1"/>
  <c r="H10" i="1"/>
  <c r="G12" i="1"/>
  <c r="H15" i="1"/>
  <c r="H22" i="1"/>
  <c r="I22" i="1"/>
  <c r="J177" i="2" l="1"/>
  <c r="H24" i="1"/>
  <c r="E24" i="1"/>
  <c r="G24" i="1"/>
  <c r="I18" i="1" l="1"/>
  <c r="I19" i="1"/>
  <c r="I12" i="1"/>
  <c r="I15" i="1"/>
  <c r="I9" i="1"/>
  <c r="I11" i="1"/>
  <c r="I5" i="1"/>
  <c r="I7" i="1"/>
  <c r="I23" i="1"/>
  <c r="I14" i="1"/>
  <c r="I24" i="1" l="1"/>
</calcChain>
</file>

<file path=xl/sharedStrings.xml><?xml version="1.0" encoding="utf-8"?>
<sst xmlns="http://schemas.openxmlformats.org/spreadsheetml/2006/main" count="18187" uniqueCount="4223">
  <si>
    <t>Partner Category</t>
  </si>
  <si>
    <t>Quarterly Funds Flow Update - DY2, Q4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</si>
  <si>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</si>
  <si>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</si>
  <si>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</si>
  <si>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</si>
  <si>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</si>
  <si>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</si>
  <si>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</si>
  <si>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</si>
  <si>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</si>
  <si>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</si>
  <si>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</si>
  <si>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</si>
  <si>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</si>
  <si>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</si>
  <si>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</si>
  <si>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</si>
  <si>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</si>
  <si>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</si>
  <si>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</si>
  <si>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</si>
  <si>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</si>
  <si>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</si>
  <si>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</si>
  <si>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</si>
  <si>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</si>
  <si>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Partner Information</t>
  </si>
  <si>
    <t>Quarterly Funds Flow Updates - DY2, Q4</t>
  </si>
  <si>
    <t>NPI</t>
  </si>
  <si>
    <t>MMIS ID</t>
  </si>
  <si>
    <t>Partner Name</t>
  </si>
  <si>
    <t>Safety Net</t>
  </si>
  <si>
    <t>State Assigned Category</t>
  </si>
  <si>
    <t>INSERT ROWS ABOVE FOR ADDITIONAL PARTNERS IN THIS CATEGORY - DO NOT ENTER DATA IN THIS ROW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</si>
  <si>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</si>
  <si>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</si>
  <si>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</si>
  <si>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</si>
  <si>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</si>
  <si>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</si>
  <si>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</si>
  <si>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</si>
  <si>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</si>
  <si>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</si>
  <si>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</si>
  <si>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</si>
  <si>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</si>
  <si>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</si>
  <si>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</si>
  <si>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</si>
  <si>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</si>
  <si>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</si>
  <si>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</si>
  <si>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2.a.ii.</t>
  </si>
  <si>
    <t>2.b.v.</t>
  </si>
  <si>
    <t>2.b.vii.</t>
  </si>
  <si>
    <t>2.b.viii.</t>
  </si>
  <si>
    <t>3.a.i.</t>
  </si>
  <si>
    <t>3.b.i.</t>
  </si>
  <si>
    <t>3.d.ii.</t>
  </si>
  <si>
    <t>3.g.ii.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</si>
  <si>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</si>
  <si>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</si>
  <si>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</si>
  <si>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</si>
  <si>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</si>
  <si>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</si>
  <si>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NPI ID</t>
  </si>
  <si>
    <t>DSRIP Provider Name</t>
  </si>
  <si>
    <t>Entity ID</t>
  </si>
  <si>
    <t>Entity Name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</si>
  <si>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</si>
  <si>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</si>
  <si>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</si>
  <si>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</si>
  <si>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</si>
  <si>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</si>
  <si>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</si>
  <si>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</si>
  <si>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</si>
  <si>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</si>
  <si>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</si>
  <si>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</si>
  <si>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</si>
  <si>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</si>
  <si>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</si>
  <si>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</si>
  <si>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</si>
  <si>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</si>
  <si>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</si>
  <si>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</si>
  <si>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</si>
  <si>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</si>
  <si>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</si>
  <si>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</si>
  <si>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</si>
  <si>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</si>
  <si>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</si>
  <si>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</si>
  <si>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</si>
  <si>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BECKER NAOMI</t>
  </si>
  <si>
    <t>E0346783</t>
  </si>
  <si>
    <t>Elaine Lederer</t>
  </si>
  <si>
    <t>(718) 896-3400</t>
  </si>
  <si>
    <t>liccdirector@aol.com</t>
  </si>
  <si>
    <t>Practitioner - Non-Primary Care Provider (PCP)</t>
  </si>
  <si>
    <t>No</t>
  </si>
  <si>
    <t>9729 64TH RD</t>
  </si>
  <si>
    <t>REGO PARK</t>
  </si>
  <si>
    <t>NY</t>
  </si>
  <si>
    <t>CLINICAL SOCIAL WORKER (CSW)</t>
  </si>
  <si>
    <t>M</t>
  </si>
  <si>
    <t>MMIS</t>
  </si>
  <si>
    <t>P</t>
  </si>
  <si>
    <t>BISSOONDIAL CARROL</t>
  </si>
  <si>
    <t>E0301471</t>
  </si>
  <si>
    <t>Mental Health:: Practitioner - Non-Primary Care Provider (PCP)</t>
  </si>
  <si>
    <t>BISSOONDIAL CARROL S.</t>
  </si>
  <si>
    <t>9729 64TH RD FL 1</t>
  </si>
  <si>
    <t>BLAKELY CAROLIN</t>
  </si>
  <si>
    <t>E0368043</t>
  </si>
  <si>
    <t>BLAKELY CAROLIN MARIE</t>
  </si>
  <si>
    <t>BOLSOM LARA</t>
  </si>
  <si>
    <t>E0314149</t>
  </si>
  <si>
    <t>24302 NORTHERN BLVD</t>
  </si>
  <si>
    <t>DOUGLASTON</t>
  </si>
  <si>
    <t>CAMPBELL ELIZABETH</t>
  </si>
  <si>
    <t>E0009792</t>
  </si>
  <si>
    <t>CAMPBELL ELIZABETH LYNN</t>
  </si>
  <si>
    <t>CREIGHTON EDWARD</t>
  </si>
  <si>
    <t>E0328257</t>
  </si>
  <si>
    <t>DRUCKER GEORGE</t>
  </si>
  <si>
    <t>E0346727</t>
  </si>
  <si>
    <t>EDELMAN SUSAN</t>
  </si>
  <si>
    <t>E0048596</t>
  </si>
  <si>
    <t>EDELMAN SUSAN E</t>
  </si>
  <si>
    <t>FISKUS RACHEL</t>
  </si>
  <si>
    <t>E0293855</t>
  </si>
  <si>
    <t>FOHN GILA</t>
  </si>
  <si>
    <t>E0284110</t>
  </si>
  <si>
    <t>RUFF EDWINA</t>
  </si>
  <si>
    <t>E0284047</t>
  </si>
  <si>
    <t>FORD EDWINA</t>
  </si>
  <si>
    <t>MARTIN AMY</t>
  </si>
  <si>
    <t>E0346910</t>
  </si>
  <si>
    <t>GOLDSHIELD AMY</t>
  </si>
  <si>
    <t>GOLDSHEID-MARTIN AMY</t>
  </si>
  <si>
    <t>GOLDSTEIN-STEUERMAN ERIKA</t>
  </si>
  <si>
    <t>E0365695</t>
  </si>
  <si>
    <t>GOLDSTEIN-STEUERMAN ERIKA BETH</t>
  </si>
  <si>
    <t>HULSE ELLIS MR.</t>
  </si>
  <si>
    <t>E0322015</t>
  </si>
  <si>
    <t>HULSE ELLIS</t>
  </si>
  <si>
    <t>97-29 64TH RD FL 1</t>
  </si>
  <si>
    <t>HYATT PHYLLIS</t>
  </si>
  <si>
    <t>E0046127</t>
  </si>
  <si>
    <t>HYATT PHYLLIS S</t>
  </si>
  <si>
    <t>IORIO JOANNE</t>
  </si>
  <si>
    <t>E0283978</t>
  </si>
  <si>
    <t>Harold Weissman</t>
  </si>
  <si>
    <t>E0279990</t>
  </si>
  <si>
    <t>WEISSMAN HAROLD            MD</t>
  </si>
  <si>
    <t>Sherrose Munro</t>
  </si>
  <si>
    <t>(718) 592-3200</t>
  </si>
  <si>
    <t>hrld_weissman@yahoo.com</t>
  </si>
  <si>
    <t>All Other:: Practitioner - Primary Care Provider (PCP)</t>
  </si>
  <si>
    <t>Yes</t>
  </si>
  <si>
    <t>WEISSMAN HAROLD DR.</t>
  </si>
  <si>
    <t>WEISSMAN HAROLD</t>
  </si>
  <si>
    <t>5910 JUNCTION BLVD</t>
  </si>
  <si>
    <t>ELMHURST</t>
  </si>
  <si>
    <t>PHYSICIAN</t>
  </si>
  <si>
    <t>HELP/PSI Inc. (Adult Day Healthcare - HIV)</t>
  </si>
  <si>
    <t>E0133280</t>
  </si>
  <si>
    <t>HELP/PSI AIDS ADHCP</t>
  </si>
  <si>
    <t>Sara Gillen</t>
  </si>
  <si>
    <t>(718) 681-8700</t>
  </si>
  <si>
    <t>sgillen@projectsamaritan.org</t>
  </si>
  <si>
    <t>All Other:: Case Management / Health Home</t>
  </si>
  <si>
    <t>HELP/PSI, INC</t>
  </si>
  <si>
    <t>HELP/PSI SNF</t>
  </si>
  <si>
    <t>1545 INWOOD AVE</t>
  </si>
  <si>
    <t>BRONX</t>
  </si>
  <si>
    <t>MULTI-TYPE</t>
  </si>
  <si>
    <t>HELP/PSI Services Corp.</t>
  </si>
  <si>
    <t>E0003512</t>
  </si>
  <si>
    <t>HELP/PROJECT SAMARITAN SVCS CORP</t>
  </si>
  <si>
    <t>All Other:: Clinic:: Mental Health:: Substance Abuse</t>
  </si>
  <si>
    <t>BRIGHTPOINT HEALTH</t>
  </si>
  <si>
    <t>1543-1545 INWOOD AVE</t>
  </si>
  <si>
    <t>DIAGNOSTIC AND TREATMENT CENTER</t>
  </si>
  <si>
    <t>HENRIQUEZ EDMEE</t>
  </si>
  <si>
    <t>E0089127</t>
  </si>
  <si>
    <t>HENRIQUEZ EDMEE M MD</t>
  </si>
  <si>
    <t>Maria D'Urso</t>
  </si>
  <si>
    <t>(718) 670-2715</t>
  </si>
  <si>
    <t>mda9005@nyp.org</t>
  </si>
  <si>
    <t>HENRIQUEZ EDMEE MARIE</t>
  </si>
  <si>
    <t>7315 NORTHERN BLVD</t>
  </si>
  <si>
    <t>JACKSON HEIGHTS</t>
  </si>
  <si>
    <t>HENRY MOSKOWITZ MD PC</t>
  </si>
  <si>
    <t>E0311420</t>
  </si>
  <si>
    <t>Jonathan Mawere</t>
  </si>
  <si>
    <t>(718) 205-0287</t>
  </si>
  <si>
    <t>Jmawere@qbecf.com</t>
  </si>
  <si>
    <t>70-31 108TH ST STE 7</t>
  </si>
  <si>
    <t>FOREST HILLS</t>
  </si>
  <si>
    <t>PHYSICIANS GROUP</t>
  </si>
  <si>
    <t>HERMAN CRAIG DR.</t>
  </si>
  <si>
    <t>E0099037</t>
  </si>
  <si>
    <t>HERMAN CRAIG</t>
  </si>
  <si>
    <t>Elizabeth Howell</t>
  </si>
  <si>
    <t>(212) 545-2404</t>
  </si>
  <si>
    <t>ehowell@chnnyc.org</t>
  </si>
  <si>
    <t>All Other:: Practitioner - Non-Primary Care Provider (PCP)</t>
  </si>
  <si>
    <t>1120 MORRIS PARK AVE</t>
  </si>
  <si>
    <t>PODIATRIST</t>
  </si>
  <si>
    <t>ALEXANDER STEVEN DR.</t>
  </si>
  <si>
    <t>E0009614</t>
  </si>
  <si>
    <t>ALEXANDER STEVEN CRAIG MD</t>
  </si>
  <si>
    <t>Josh Pollack</t>
  </si>
  <si>
    <t>(718) 961-5300</t>
  </si>
  <si>
    <t>jpollack.cc@flushingmanors.com</t>
  </si>
  <si>
    <t>5528 MAIN ST</t>
  </si>
  <si>
    <t>FLUSHING</t>
  </si>
  <si>
    <t>SACHSE MERRELL DESIREE DR.</t>
  </si>
  <si>
    <t>E0116435</t>
  </si>
  <si>
    <t>SACHSE DESIREE</t>
  </si>
  <si>
    <t>Edwin Simpser</t>
  </si>
  <si>
    <t>(718) 281-8777</t>
  </si>
  <si>
    <t>esimpser@stmaryskids.org</t>
  </si>
  <si>
    <t>MERRELL DESIREE DR.</t>
  </si>
  <si>
    <t>MERRILL DESIREE</t>
  </si>
  <si>
    <t>2901 216TH ST</t>
  </si>
  <si>
    <t>BAYSIDE</t>
  </si>
  <si>
    <t>JOSEPH MYRIAM</t>
  </si>
  <si>
    <t>E0308218</t>
  </si>
  <si>
    <t>JOSEPH MYRIAM BERTHNELL</t>
  </si>
  <si>
    <t>803 STERLING PL</t>
  </si>
  <si>
    <t>BROOKLYN</t>
  </si>
  <si>
    <t>KAGAN BROCHA</t>
  </si>
  <si>
    <t>E0288437</t>
  </si>
  <si>
    <t>KAGAN BROCHA FAYGE RPA</t>
  </si>
  <si>
    <t>Derek Murray</t>
  </si>
  <si>
    <t>(718) 670-3400</t>
  </si>
  <si>
    <t>dmurray@franklinnh.net</t>
  </si>
  <si>
    <t>506 6TH ST</t>
  </si>
  <si>
    <t>KATZURIN SAM DR.</t>
  </si>
  <si>
    <t>E0261779</t>
  </si>
  <si>
    <t>KATZURIN SAM MD            PC</t>
  </si>
  <si>
    <t>Michael Berger</t>
  </si>
  <si>
    <t>(718) 461-5000</t>
  </si>
  <si>
    <t>mberger@wvnursing.net</t>
  </si>
  <si>
    <t>KATZURIN SAM MD</t>
  </si>
  <si>
    <t>161 ATLANTAIC AVE/STE 203</t>
  </si>
  <si>
    <t>KELLY ROBERTA</t>
  </si>
  <si>
    <t>E0331595</t>
  </si>
  <si>
    <t>KELLY ROBERTA MAY</t>
  </si>
  <si>
    <t>1543 INWOOD AVE</t>
  </si>
  <si>
    <t>KERWIN TODD</t>
  </si>
  <si>
    <t>E0057903</t>
  </si>
  <si>
    <t>KERWIN TODD CHRISTOPHER MD</t>
  </si>
  <si>
    <t>STE 500</t>
  </si>
  <si>
    <t>MINEOLA</t>
  </si>
  <si>
    <t>KHURANA MUKUL</t>
  </si>
  <si>
    <t>E0346415</t>
  </si>
  <si>
    <t>Mayer Gutman</t>
  </si>
  <si>
    <t>(718) 565-4200</t>
  </si>
  <si>
    <t>mgutman@dryharbor.com</t>
  </si>
  <si>
    <t>100 RING RD W STE 300</t>
  </si>
  <si>
    <t>GARDEN CITY</t>
  </si>
  <si>
    <t>KIRBY KELLY MS.</t>
  </si>
  <si>
    <t>John Lavin</t>
  </si>
  <si>
    <t>(347) 684-0082</t>
  </si>
  <si>
    <t>jlavin@mhpwq.org</t>
  </si>
  <si>
    <t>Other Practitioners</t>
  </si>
  <si>
    <t>7409 37TH AVE, SUITE 315</t>
  </si>
  <si>
    <t>NPI only</t>
  </si>
  <si>
    <t>KRAMER LAWRENCE DR.</t>
  </si>
  <si>
    <t>E0215426</t>
  </si>
  <si>
    <t>KRAMER LAWRENCE DAVID      MD</t>
  </si>
  <si>
    <t>CWMC</t>
  </si>
  <si>
    <t>KREMPASKY CHANCE</t>
  </si>
  <si>
    <t>E0363925</t>
  </si>
  <si>
    <t>KREMPASKY CHANCE NICHOLAS</t>
  </si>
  <si>
    <t>975 WESTCHESTER AVE</t>
  </si>
  <si>
    <t>SPITALETTA MARY</t>
  </si>
  <si>
    <t>E0011702</t>
  </si>
  <si>
    <t>Mark F Sorensen</t>
  </si>
  <si>
    <t>(718) 264-3603</t>
  </si>
  <si>
    <t>Mark.Sorensen@omh.ny.gov</t>
  </si>
  <si>
    <t>SPITALETTA MARY EVELYN</t>
  </si>
  <si>
    <t>1000 N VILLAGE AVE</t>
  </si>
  <si>
    <t>ROCKVILLE CENTRE</t>
  </si>
  <si>
    <t>UDYAWAR APARNA DR.</t>
  </si>
  <si>
    <t>E0322046</t>
  </si>
  <si>
    <t>UDYAWAR APARNA P</t>
  </si>
  <si>
    <t>380 NASSAU RD</t>
  </si>
  <si>
    <t>ROOSEVELT</t>
  </si>
  <si>
    <t>WANG DA MR.</t>
  </si>
  <si>
    <t>E0314770</t>
  </si>
  <si>
    <t>WANG DA</t>
  </si>
  <si>
    <t>11 WILLETS DR</t>
  </si>
  <si>
    <t>SYOSSET</t>
  </si>
  <si>
    <t>GUMPENI RAMMOHAN DR.</t>
  </si>
  <si>
    <t>E0276148</t>
  </si>
  <si>
    <t>GUMPENI RAMMOHAN</t>
  </si>
  <si>
    <t>Anne Walsh-Feeks</t>
  </si>
  <si>
    <t>(718) 670-2787</t>
  </si>
  <si>
    <t>anw9093@nyp.org</t>
  </si>
  <si>
    <t>5645 MAIN ST</t>
  </si>
  <si>
    <t>HASSANEIN MAHMOUD</t>
  </si>
  <si>
    <t>E0105297</t>
  </si>
  <si>
    <t>HASSANEIN MAHMOUD M MD</t>
  </si>
  <si>
    <t>Practitioner - Primary Care Provider (PCP)</t>
  </si>
  <si>
    <t>1276 FULTON AVE</t>
  </si>
  <si>
    <t>KALAFATIC FRANK</t>
  </si>
  <si>
    <t>E0241168</t>
  </si>
  <si>
    <t>KALAFATIC FRANCISCO</t>
  </si>
  <si>
    <t>BOOTH MEM HOSP</t>
  </si>
  <si>
    <t>KIM HELEN DR.</t>
  </si>
  <si>
    <t>E0071092</t>
  </si>
  <si>
    <t>KIM HELEN DDS</t>
  </si>
  <si>
    <t>437 W 125TH ST</t>
  </si>
  <si>
    <t>NEW YORK</t>
  </si>
  <si>
    <t>DENTIST</t>
  </si>
  <si>
    <t>LAZZARA ALICIA MRS.</t>
  </si>
  <si>
    <t>E0102149</t>
  </si>
  <si>
    <t>LAZZARA ALICIA</t>
  </si>
  <si>
    <t>3207 FRANCIS LEWIS BLVD</t>
  </si>
  <si>
    <t>NICHOLSON JOHN</t>
  </si>
  <si>
    <t>E0214066</t>
  </si>
  <si>
    <t>NICHOLSON JOHN PERRY       MD</t>
  </si>
  <si>
    <t>ROGER IGNATIUS DR.</t>
  </si>
  <si>
    <t>E0228532</t>
  </si>
  <si>
    <t>ROGER IGNATIUS DANIEL      MD</t>
  </si>
  <si>
    <t>STE 301</t>
  </si>
  <si>
    <t>SHECHTER DAVID DR.</t>
  </si>
  <si>
    <t>E0257715</t>
  </si>
  <si>
    <t>SHECHTER DAVID Z DPM</t>
  </si>
  <si>
    <t>10417 LEFFERTS BLVD</t>
  </si>
  <si>
    <t>SOUTH RICHMOND HILL</t>
  </si>
  <si>
    <t>SILVER LARRY MR.</t>
  </si>
  <si>
    <t>E0119193</t>
  </si>
  <si>
    <t>SILVER LARRY MARK   DPM</t>
  </si>
  <si>
    <t>SILVER LARRY MARK</t>
  </si>
  <si>
    <t>32-07 FRANCIS LEWIS BLVD</t>
  </si>
  <si>
    <t>SINESI ANDREW</t>
  </si>
  <si>
    <t>E0154346</t>
  </si>
  <si>
    <t>SINESI ANDREW P MD</t>
  </si>
  <si>
    <t>5626 MAIN ST</t>
  </si>
  <si>
    <t>HAROON OMER DR.</t>
  </si>
  <si>
    <t>E0425576</t>
  </si>
  <si>
    <t>HAROON OMER AHMAD</t>
  </si>
  <si>
    <t>127 S BROADWAY FL 2</t>
  </si>
  <si>
    <t>YONKERS</t>
  </si>
  <si>
    <t>FELDMAN ROBERT</t>
  </si>
  <si>
    <t>E0277476</t>
  </si>
  <si>
    <t>FELDMAN ROBERT M           MD</t>
  </si>
  <si>
    <t>Mary Anne Rose</t>
  </si>
  <si>
    <t>(718) 675-6363</t>
  </si>
  <si>
    <t>mrose@highlandrehabandnursing.com</t>
  </si>
  <si>
    <t>1401 PRESIDENT ST</t>
  </si>
  <si>
    <t>FERNANDEZ BEVERLY</t>
  </si>
  <si>
    <t>E0324483</t>
  </si>
  <si>
    <t>FERNANDEZ BEVERLY A</t>
  </si>
  <si>
    <t>FINESTONE JACOB DR.</t>
  </si>
  <si>
    <t>E0240719</t>
  </si>
  <si>
    <t>FINESTONE JACOB MD</t>
  </si>
  <si>
    <t>2270 KIMBALL ST</t>
  </si>
  <si>
    <t>Flushing Manor Care Center, Inc.</t>
  </si>
  <si>
    <t>Unknown</t>
  </si>
  <si>
    <t>Uncategorized</t>
  </si>
  <si>
    <t>FLUSHING MANOR CARE CENTER, INC.</t>
  </si>
  <si>
    <t>13966 35TH AVE</t>
  </si>
  <si>
    <t>Missing Non Medicaid Provider Type</t>
  </si>
  <si>
    <t>Flushing Manor Dialysis</t>
  </si>
  <si>
    <t>Richard Sherman</t>
  </si>
  <si>
    <t>(718) 961-4300</t>
  </si>
  <si>
    <t>rsherman.pav@flushingmanors.com</t>
  </si>
  <si>
    <t>FLUSHING MANOR DIALYSIS CENTER, LLC</t>
  </si>
  <si>
    <t>3617 PARSONS BLVD</t>
  </si>
  <si>
    <t>Flushing Manor Geriatric Center, Inc. d/b/a Dr. William O. Benenson Rehab Pavilion</t>
  </si>
  <si>
    <t>FLUSHING MANOR GERIATRIC CENTER INC</t>
  </si>
  <si>
    <t>FMNH, LLC d/b/a Flushing Manor Nursing and Rehab</t>
  </si>
  <si>
    <t>Jerry Anella</t>
  </si>
  <si>
    <t>(718) 961-3500</t>
  </si>
  <si>
    <t>jenella.nh@flushingmanors.com</t>
  </si>
  <si>
    <t>FMNH LLC</t>
  </si>
  <si>
    <t>3515 PARSONS BLVD</t>
  </si>
  <si>
    <t>FOLEY CORNELIUS DR.</t>
  </si>
  <si>
    <t>E0071495</t>
  </si>
  <si>
    <t>FOLEY CORNELIUS J MD</t>
  </si>
  <si>
    <t>Lorraine Breuer</t>
  </si>
  <si>
    <t>(718) 289-2102</t>
  </si>
  <si>
    <t>research@parkerinstitute.org</t>
  </si>
  <si>
    <t>FOLEY CORNELIUS JAMES</t>
  </si>
  <si>
    <t>27111 76TH AVE</t>
  </si>
  <si>
    <t>NEW HYDE PARK</t>
  </si>
  <si>
    <t>FOREST VIEW CTR FOR REH &amp; NRS</t>
  </si>
  <si>
    <t>E0268195</t>
  </si>
  <si>
    <t>Veronica Gonzalez</t>
  </si>
  <si>
    <t>(917) 859-2970</t>
  </si>
  <si>
    <t>vg@cfwgroup.com</t>
  </si>
  <si>
    <t>All Other:: Nursing Home</t>
  </si>
  <si>
    <t>FOREST VIEW NURSING HOME, INC.</t>
  </si>
  <si>
    <t>71 20 110 STREET</t>
  </si>
  <si>
    <t>LONG TERM CARE FACILITY</t>
  </si>
  <si>
    <t>FRIEDMAN ROSS</t>
  </si>
  <si>
    <t>E0215447</t>
  </si>
  <si>
    <t>FRIEDMAN ROSS  MD</t>
  </si>
  <si>
    <t>STUART WEGER</t>
  </si>
  <si>
    <t>(646) 313-3716</t>
  </si>
  <si>
    <t>SWEGER@ARCWELL.NET</t>
  </si>
  <si>
    <t>45 MAIN ST</t>
  </si>
  <si>
    <t>FRIEDMAN SIMON</t>
  </si>
  <si>
    <t>E0223515</t>
  </si>
  <si>
    <t>FRIEDMAN SIMON HAROLD      MD</t>
  </si>
  <si>
    <t>1636 E 14TH ST</t>
  </si>
  <si>
    <t>FURNO MARY ANN MS.</t>
  </si>
  <si>
    <t>8115 164TH ST</t>
  </si>
  <si>
    <t>JAMAICA</t>
  </si>
  <si>
    <t>FUZAYLOVA SVETLANA</t>
  </si>
  <si>
    <t>E0101264</t>
  </si>
  <si>
    <t>FUZAYLOVA SVETLANA MD</t>
  </si>
  <si>
    <t>6574 SAUNDERS ST</t>
  </si>
  <si>
    <t>GAGOS MARIOS</t>
  </si>
  <si>
    <t>E0299821</t>
  </si>
  <si>
    <t>GAGOS MARIOS DIMITRIOS</t>
  </si>
  <si>
    <t>GAZIS SOPHIA</t>
  </si>
  <si>
    <t>E0094156</t>
  </si>
  <si>
    <t>GAZIS SOPHIA MD</t>
  </si>
  <si>
    <t>GERIATRIC SVC PC</t>
  </si>
  <si>
    <t>GEORGESCU LIVIU</t>
  </si>
  <si>
    <t>E0148885</t>
  </si>
  <si>
    <t>GEORGESCU LIVIU MD</t>
  </si>
  <si>
    <t>HSS MED ASSOC PC</t>
  </si>
  <si>
    <t>GERA AKANKSHA DR.</t>
  </si>
  <si>
    <t>E0303277</t>
  </si>
  <si>
    <t>MANCHANDA-GERA AKANKSHA</t>
  </si>
  <si>
    <t>9704 SUTPHIN BLVD</t>
  </si>
  <si>
    <t>GOLDWYN ELAN DR.</t>
  </si>
  <si>
    <t>E0310860</t>
  </si>
  <si>
    <t>ELAN-MICHAEL GOLDWYN MD</t>
  </si>
  <si>
    <t>GOLDWYN ELAN MICHAEL MD</t>
  </si>
  <si>
    <t>GONZALEZ KATHERINE</t>
  </si>
  <si>
    <t>E0341563</t>
  </si>
  <si>
    <t>GONZALEZ KATHERNE</t>
  </si>
  <si>
    <t>GONZALEZ KATHERNE BRENNEMAN</t>
  </si>
  <si>
    <t>150 ESSEX ST</t>
  </si>
  <si>
    <t>GREENE ELIZABETH</t>
  </si>
  <si>
    <t>E0336358</t>
  </si>
  <si>
    <t>98120 QUEENS BLVD</t>
  </si>
  <si>
    <t>GRIFFIN RACHEL</t>
  </si>
  <si>
    <t>E0023516</t>
  </si>
  <si>
    <t>GRIFFIN RACHEL SUSAN</t>
  </si>
  <si>
    <t>1543-1545 INWOOD AVENUE</t>
  </si>
  <si>
    <t>JACOBS ALYSHA</t>
  </si>
  <si>
    <t>E0101649</t>
  </si>
  <si>
    <t>JACOBS ALYSHA KIM</t>
  </si>
  <si>
    <t>171 WEST 73RD ST STE 4</t>
  </si>
  <si>
    <t>OPTOMETRIST</t>
  </si>
  <si>
    <t>JAIN AJAY</t>
  </si>
  <si>
    <t>E0309872</t>
  </si>
  <si>
    <t>Yossi Kraus</t>
  </si>
  <si>
    <t>(718) 205-8100</t>
  </si>
  <si>
    <t>elmhurstcc@aol.com</t>
  </si>
  <si>
    <t>JAISWAL ARTI</t>
  </si>
  <si>
    <t>E0019862</t>
  </si>
  <si>
    <t>JAISWAL ARTI CHANDER MD</t>
  </si>
  <si>
    <t>104 FULTON AVE</t>
  </si>
  <si>
    <t>POUGHKEEPSIE</t>
  </si>
  <si>
    <t>SONG CHRISTIAN DR.</t>
  </si>
  <si>
    <t>E0333578</t>
  </si>
  <si>
    <t>SONG CHRISTIAN E</t>
  </si>
  <si>
    <t>1305 YORK AVE FL 11</t>
  </si>
  <si>
    <t>TODD ANGELA DR.</t>
  </si>
  <si>
    <t>E0179319</t>
  </si>
  <si>
    <t>TODD ANGELA HENRY MD</t>
  </si>
  <si>
    <t>21949 JAMAICA AVE</t>
  </si>
  <si>
    <t>QUEENS VILLAGE</t>
  </si>
  <si>
    <t>HARALAMBOU GEORGE</t>
  </si>
  <si>
    <t>E0113265</t>
  </si>
  <si>
    <t>HARALAMBOU GEORGE MD</t>
  </si>
  <si>
    <t>5806 FRANCIS LEWIS BLVD</t>
  </si>
  <si>
    <t>OAKLAND GARDENS</t>
  </si>
  <si>
    <t>ABDELAZIZ HODA MRS.</t>
  </si>
  <si>
    <t>E0354647</t>
  </si>
  <si>
    <t>ABDELAZIZ HODA H FNP</t>
  </si>
  <si>
    <t>302 BROADWAY</t>
  </si>
  <si>
    <t>HSU TONY DR.</t>
  </si>
  <si>
    <t>E0259185</t>
  </si>
  <si>
    <t>HSU TONY C S               MD</t>
  </si>
  <si>
    <t>STE 202</t>
  </si>
  <si>
    <t>HUANG ZHENG-BO</t>
  </si>
  <si>
    <t>E0113275</t>
  </si>
  <si>
    <t>HUANG ZHENG-BO MD</t>
  </si>
  <si>
    <t>153 W 11TH ST</t>
  </si>
  <si>
    <t>HUNG LINGPIN DR.</t>
  </si>
  <si>
    <t>E0307196</t>
  </si>
  <si>
    <t>HUNG LINGPIN</t>
  </si>
  <si>
    <t>56-45 MAIN ST</t>
  </si>
  <si>
    <t>IAKOVOU CHRISTOS</t>
  </si>
  <si>
    <t>E0186408</t>
  </si>
  <si>
    <t>IAKOVOU CHRISTOS MD</t>
  </si>
  <si>
    <t>4500 PARSONS BLVD</t>
  </si>
  <si>
    <t>RAHMAN MOHAMMED MR.</t>
  </si>
  <si>
    <t>E0122918</t>
  </si>
  <si>
    <t>RAHMAN MOHAMMED MOMINUR MD</t>
  </si>
  <si>
    <t>RAHMAN MOHAMMED MOMINUR</t>
  </si>
  <si>
    <t>RAMESHWAR KARAMCHAND DR.</t>
  </si>
  <si>
    <t>E0122339</t>
  </si>
  <si>
    <t>RAMESHWAR KARAMCHAND MD</t>
  </si>
  <si>
    <t>All Other:: Mental Health:: Practitioner - Non-Primary Care Provider (PCP)</t>
  </si>
  <si>
    <t>JACOBI MEDICAL CTR</t>
  </si>
  <si>
    <t>RAMIS CARMEN DR.</t>
  </si>
  <si>
    <t>E0202020</t>
  </si>
  <si>
    <t>RAMIS CARMEN MARIA MD</t>
  </si>
  <si>
    <t>36 7TH AVE</t>
  </si>
  <si>
    <t>RAMZAN MUHAMMAD</t>
  </si>
  <si>
    <t>E0034421</t>
  </si>
  <si>
    <t>RAMZAN MUHAMMAD MASOOD</t>
  </si>
  <si>
    <t>RAPPA VINCENT</t>
  </si>
  <si>
    <t>E0097740</t>
  </si>
  <si>
    <t>RAPPA VINCENT P MD</t>
  </si>
  <si>
    <t>4 CHURCH ST</t>
  </si>
  <si>
    <t>ROSLYN</t>
  </si>
  <si>
    <t>REDDY KUMAR</t>
  </si>
  <si>
    <t>E0277051</t>
  </si>
  <si>
    <t>REDDY KUMAR S MD</t>
  </si>
  <si>
    <t>9610 METROPOLITAN AVE</t>
  </si>
  <si>
    <t>Resource Medical Services, PC (d.b.a. ArcWell Medical)</t>
  </si>
  <si>
    <t>E0333155</t>
  </si>
  <si>
    <t>RESOURCE MEDICAL SERVICES PC</t>
  </si>
  <si>
    <t>Stuart Y. Weger, MHA, LNHA</t>
  </si>
  <si>
    <t>sweger@arcwell.net</t>
  </si>
  <si>
    <t>11909 26TH AVE</t>
  </si>
  <si>
    <t>Revival Home Health Care</t>
  </si>
  <si>
    <t>E0145551</t>
  </si>
  <si>
    <t>GAMZEL NY INC</t>
  </si>
  <si>
    <t>Rachelle Kivanoski, Chief Clinical Office</t>
  </si>
  <si>
    <t>(718) 629-1000</t>
  </si>
  <si>
    <t>rkivanoski@revivalhhc.org</t>
  </si>
  <si>
    <t>GAMZEL NY, INC</t>
  </si>
  <si>
    <t>5350 KINGS HWY</t>
  </si>
  <si>
    <t>HOME HEALTH AGENCY</t>
  </si>
  <si>
    <t>RIMMER LINDA</t>
  </si>
  <si>
    <t>E0291197</t>
  </si>
  <si>
    <t>RIMMER LINDA MARIE GAWRONSKI</t>
  </si>
  <si>
    <t>45 MAIN ST STE 408</t>
  </si>
  <si>
    <t>RIOS MARISOL MS.</t>
  </si>
  <si>
    <t>E0284063</t>
  </si>
  <si>
    <t>RIOS MARISOL</t>
  </si>
  <si>
    <t>MARTINEZ MARISOL MS.</t>
  </si>
  <si>
    <t>MARTINEZ MARISOL</t>
  </si>
  <si>
    <t>1543 INWOOD AVE # 1545</t>
  </si>
  <si>
    <t>ROBIE KRISTIN</t>
  </si>
  <si>
    <t>E0113693</t>
  </si>
  <si>
    <t>45 MAIN ST STE 108</t>
  </si>
  <si>
    <t>RODRIGUEZ CARLOS DR.</t>
  </si>
  <si>
    <t>E0363124</t>
  </si>
  <si>
    <t>RODRIGUEZ-JAQUEZ CARLOS R</t>
  </si>
  <si>
    <t>2771 FREDERICK DOUGLASS BLVD</t>
  </si>
  <si>
    <t>ROLSTON SANDRA</t>
  </si>
  <si>
    <t>E0040287</t>
  </si>
  <si>
    <t>ROLSTON SANDRA A MD</t>
  </si>
  <si>
    <t>BMERF</t>
  </si>
  <si>
    <t>SPRINGFIELD</t>
  </si>
  <si>
    <t>MA</t>
  </si>
  <si>
    <t>RONDON METHERLYN</t>
  </si>
  <si>
    <t>7409 37TH AVE</t>
  </si>
  <si>
    <t>ROSEME-FREDERIC NATHALIE</t>
  </si>
  <si>
    <t>E0300613</t>
  </si>
  <si>
    <t>3508 FLATLANDS AVE</t>
  </si>
  <si>
    <t>ROSENBLUM ROBYN</t>
  </si>
  <si>
    <t>E0040771</t>
  </si>
  <si>
    <t>ROSENBLUM ROBYN E MD</t>
  </si>
  <si>
    <t>ROSS DONALD</t>
  </si>
  <si>
    <t>E0116088</t>
  </si>
  <si>
    <t>ROSS DONALD MD</t>
  </si>
  <si>
    <t>SLHR INPT</t>
  </si>
  <si>
    <t>ROSS SYDELLE</t>
  </si>
  <si>
    <t>E0313782</t>
  </si>
  <si>
    <t>SYDELLE R ROSS</t>
  </si>
  <si>
    <t>ROSS SYDELLE ROWENA</t>
  </si>
  <si>
    <t>GIURLEO PATRICIA MS.</t>
  </si>
  <si>
    <t>E0321029</t>
  </si>
  <si>
    <t>GIURLEO PATRICIA</t>
  </si>
  <si>
    <t>GIURLEO PATRICIA A</t>
  </si>
  <si>
    <t>1776 CLAY AVE</t>
  </si>
  <si>
    <t>God's Love We Deliver, Inc.</t>
  </si>
  <si>
    <t>Alissa Wassung, Director of Policy &amp; Planning</t>
  </si>
  <si>
    <t>(212) 294-8171</t>
  </si>
  <si>
    <t>awassung@glwd.org</t>
  </si>
  <si>
    <t>Other Misc</t>
  </si>
  <si>
    <t>GOD'S LOVE WE DELIVER, INC.</t>
  </si>
  <si>
    <t>166 AVENUE OF THE AMERICAS</t>
  </si>
  <si>
    <t>YEL ZINAIDA</t>
  </si>
  <si>
    <t>E0052777</t>
  </si>
  <si>
    <t>YEL ZINAIDA MD</t>
  </si>
  <si>
    <t>OLOM MED CENTER</t>
  </si>
  <si>
    <t>MONJE CLAUDE DR.</t>
  </si>
  <si>
    <t>E0327684</t>
  </si>
  <si>
    <t>MONJE CLAUDE ANDREW PHD</t>
  </si>
  <si>
    <t>630 E 104TH ST</t>
  </si>
  <si>
    <t>CLINICAL PSYCHOLOGIST</t>
  </si>
  <si>
    <t>FELDMAN SHARA DR.</t>
  </si>
  <si>
    <t>E0315080</t>
  </si>
  <si>
    <t>FELDMAN SHARA</t>
  </si>
  <si>
    <t>451 CLARKSON AVE</t>
  </si>
  <si>
    <t>SAVINO FRED DR.</t>
  </si>
  <si>
    <t>E0176168</t>
  </si>
  <si>
    <t>SAVINO FRED LOUIS  PHD</t>
  </si>
  <si>
    <t>23717 88TH AVE</t>
  </si>
  <si>
    <t>BELLEROSE</t>
  </si>
  <si>
    <t>KYRIANNIS CHARLES</t>
  </si>
  <si>
    <t>E0260730</t>
  </si>
  <si>
    <t>KYRIANNIS CHARLES          MD</t>
  </si>
  <si>
    <t>7925 WINCHESTER BLVD</t>
  </si>
  <si>
    <t>JOSEPH ADIPIETRO, LCSW</t>
  </si>
  <si>
    <t>8 RUGBY RD</t>
  </si>
  <si>
    <t>CADET BESNARD MR.</t>
  </si>
  <si>
    <t>1444 ROYCE ST</t>
  </si>
  <si>
    <t>GORDON CHRISTINE MISS</t>
  </si>
  <si>
    <t>3811 BROADWAY FL 3</t>
  </si>
  <si>
    <t>ASTORIA</t>
  </si>
  <si>
    <t>HWANG YOO</t>
  </si>
  <si>
    <t>8045 WINCHESTER BLVD, BDLG 73</t>
  </si>
  <si>
    <t>NAIR JAYAKRISHNAN</t>
  </si>
  <si>
    <t>8045 WINCHESTER BLVD BLDG 73</t>
  </si>
  <si>
    <t>ROTTERSMAN ANNA MS.</t>
  </si>
  <si>
    <t>150-11 HILLSIDE AVENUE</t>
  </si>
  <si>
    <t>SHEGERIAN ARLENE MS.</t>
  </si>
  <si>
    <t>10 MANHATTAN AVE, WILLIAMSBURG CLINIC</t>
  </si>
  <si>
    <t>SINGH RAJEEV</t>
  </si>
  <si>
    <t>1483 MARSHALL ST</t>
  </si>
  <si>
    <t>ELMONT</t>
  </si>
  <si>
    <t>THOMAS LEO MR.</t>
  </si>
  <si>
    <t>THOMAS SUMINI MRS.</t>
  </si>
  <si>
    <t>E0393044</t>
  </si>
  <si>
    <t>THOMAS SUMINI</t>
  </si>
  <si>
    <t>20922 HILLSIDE AVE</t>
  </si>
  <si>
    <t>SULLIVAN NANCY</t>
  </si>
  <si>
    <t>E0379835</t>
  </si>
  <si>
    <t>SULLIVAN NANCY A</t>
  </si>
  <si>
    <t>15913 HORACE HARDING EXPY</t>
  </si>
  <si>
    <t>FRESH MEADOWS</t>
  </si>
  <si>
    <t>WALFISH JEANNE MS.</t>
  </si>
  <si>
    <t>E0045893</t>
  </si>
  <si>
    <t>WALFISH JEANNE</t>
  </si>
  <si>
    <t>WARD SARAH</t>
  </si>
  <si>
    <t>E0346866</t>
  </si>
  <si>
    <t>WASHINGTON DEBRA</t>
  </si>
  <si>
    <t>E0316914</t>
  </si>
  <si>
    <t>2527 GLEBE AVE</t>
  </si>
  <si>
    <t>ZIEL VALERIE MS.</t>
  </si>
  <si>
    <t>E0316917</t>
  </si>
  <si>
    <t>ZIEL VALERIE</t>
  </si>
  <si>
    <t>160 W 86TH ST</t>
  </si>
  <si>
    <t>COPELAND GAIL</t>
  </si>
  <si>
    <t>E0400403</t>
  </si>
  <si>
    <t>WILLIAMS-COPELAND GAIL</t>
  </si>
  <si>
    <t>FERGUSON ROSALYN</t>
  </si>
  <si>
    <t>FORSTER IDA</t>
  </si>
  <si>
    <t>FRANQUIZ MAUREEN</t>
  </si>
  <si>
    <t>GOLDFARB FRANCES MS.</t>
  </si>
  <si>
    <t>JONES DEBORAH</t>
  </si>
  <si>
    <t>97-29 64TH ROAD</t>
  </si>
  <si>
    <t>JONES GINA</t>
  </si>
  <si>
    <t>New York Center for Rehabilitation and Nursing</t>
  </si>
  <si>
    <t>E0072479</t>
  </si>
  <si>
    <t>NEW YORK CENTER REH CARE SNF</t>
  </si>
  <si>
    <t>Nathan Brachfeld</t>
  </si>
  <si>
    <t>(718) 626-4800</t>
  </si>
  <si>
    <t>nzb1@aol.com</t>
  </si>
  <si>
    <t>NEW YORK REHABILITATION CARE MANAGEMENT , LLC</t>
  </si>
  <si>
    <t>NEW YORK CENTER FOR REHAB &amp; NURSING</t>
  </si>
  <si>
    <t>2613 21ST ST</t>
  </si>
  <si>
    <t>NEW YORK HOSPITAL MEDICAL CENTER OF QUEENS</t>
  </si>
  <si>
    <t>E0274006</t>
  </si>
  <si>
    <t>NEW YORK HOSP MED CTR QUEENS</t>
  </si>
  <si>
    <t>Maureen Buglino</t>
  </si>
  <si>
    <t>(718) 670-1981</t>
  </si>
  <si>
    <t>mabuglin@nyp.org</t>
  </si>
  <si>
    <t>All Other:: Clinic:: Hospital</t>
  </si>
  <si>
    <t>NEWYORK-PRESBYTERIAN-QUEENS</t>
  </si>
  <si>
    <t>NEW YORK PRESBYTERIAN QUEENS</t>
  </si>
  <si>
    <t>HOSPITAL</t>
  </si>
  <si>
    <t>L</t>
  </si>
  <si>
    <t>E0112820</t>
  </si>
  <si>
    <t>NEWYORK-PRESBYTERIAN/QUEENS</t>
  </si>
  <si>
    <t>NEW YORK -PRESBYTERIAN-QUEENS</t>
  </si>
  <si>
    <t>56-45 MAIN ST FL 8</t>
  </si>
  <si>
    <t>NEW YORK HOSPITAL QUEENS</t>
  </si>
  <si>
    <t>E0345721</t>
  </si>
  <si>
    <t>HODGE SANDRA DENISE NICHOLAS</t>
  </si>
  <si>
    <t>HODGE SANDRA</t>
  </si>
  <si>
    <t>56-46 MAIN ST</t>
  </si>
  <si>
    <t>Queens Center for Rehabilitation &amp; Residential Healthcare</t>
  </si>
  <si>
    <t>E0268111</t>
  </si>
  <si>
    <t>QUEENS CTR REH &amp; RES HLTH CR</t>
  </si>
  <si>
    <t>Isaac Rubin</t>
  </si>
  <si>
    <t>(917) 618-4869</t>
  </si>
  <si>
    <t>irubin@centersforcare.org</t>
  </si>
  <si>
    <t>CLEARVIEW OPERATING CO. LLC</t>
  </si>
  <si>
    <t>157-15 19TH AVE</t>
  </si>
  <si>
    <t>WHITESTONE</t>
  </si>
  <si>
    <t>Queens Coordinated Care Partners</t>
  </si>
  <si>
    <t>ehowell@chnncy.org</t>
  </si>
  <si>
    <t>Community Advocacy and Support</t>
  </si>
  <si>
    <t>CBO</t>
  </si>
  <si>
    <t>60 Madison Ave</t>
  </si>
  <si>
    <t>No NPI or MMIS</t>
  </si>
  <si>
    <t>Queens Long Island Renal Institute</t>
  </si>
  <si>
    <t>E0311773</t>
  </si>
  <si>
    <t>QUEENS-LONG ISLAND RENAL INSTITUTE</t>
  </si>
  <si>
    <t>Georgienne Kenny</t>
  </si>
  <si>
    <t>(718) 289-2108</t>
  </si>
  <si>
    <t>gkenny@parkerinstitute.org</t>
  </si>
  <si>
    <t>All Other:: Clinic</t>
  </si>
  <si>
    <t>QUEENS - LONG ISLAND RENAL INSTITUTE, INC.</t>
  </si>
  <si>
    <t>BIRCAJ ALFRED</t>
  </si>
  <si>
    <t>E0310054</t>
  </si>
  <si>
    <t>BIRCAJ ALFRED MD</t>
  </si>
  <si>
    <t>27005 76TH AVE</t>
  </si>
  <si>
    <t>BLANDINO RAMON MR.</t>
  </si>
  <si>
    <t>11435 DALIAN CT</t>
  </si>
  <si>
    <t>COLLEGE POINT</t>
  </si>
  <si>
    <t>BOGDANOV ASSEN</t>
  </si>
  <si>
    <t>E0053749</t>
  </si>
  <si>
    <t>BOGDANOV ASSEN PETROV MD</t>
  </si>
  <si>
    <t>69 S BROADWAY</t>
  </si>
  <si>
    <t>BORGES ROLANDO</t>
  </si>
  <si>
    <t>E0290126</t>
  </si>
  <si>
    <t>BORGES ROLANDO MD</t>
  </si>
  <si>
    <t>Donald Morris</t>
  </si>
  <si>
    <t>(718) 939-7500</t>
  </si>
  <si>
    <t>dmorris@longislandcarecenter.com</t>
  </si>
  <si>
    <t>3029 38TH ST LOWR LEVEL</t>
  </si>
  <si>
    <t>WALIA ALKA MRS.</t>
  </si>
  <si>
    <t>150-11 HILLSIDE AVE, JAMAICA COMMUNITY SERVICES</t>
  </si>
  <si>
    <t>WEISS ELIN MS.</t>
  </si>
  <si>
    <t>109 E 89 ST</t>
  </si>
  <si>
    <t>WERBIN KAREN MRS.</t>
  </si>
  <si>
    <t>7925 WINCHESTER BLVD, BLDG 73</t>
  </si>
  <si>
    <t>BASHAYAN OMAR</t>
  </si>
  <si>
    <t>E0441913</t>
  </si>
  <si>
    <t>CARALIS DIONYSSIOS DR.</t>
  </si>
  <si>
    <t>Physician</t>
  </si>
  <si>
    <t>280 MADISON AVENUE, SUITE 1108</t>
  </si>
  <si>
    <t>ROSSMER JACOB</t>
  </si>
  <si>
    <t>24302 NORTHERN BLVD, PRIDE OF JUDEA COMMUNITY SERVICES</t>
  </si>
  <si>
    <t>MERCURIO MEEGHAN MISS</t>
  </si>
  <si>
    <t>E0339866</t>
  </si>
  <si>
    <t>MERCURIO MEEGHAN</t>
  </si>
  <si>
    <t>MESSANA IDA DR.</t>
  </si>
  <si>
    <t>E0133214</t>
  </si>
  <si>
    <t>MESSANA IDA MD</t>
  </si>
  <si>
    <t>10933 71ST RD</t>
  </si>
  <si>
    <t>MESSORE ELISA</t>
  </si>
  <si>
    <t>E0336497</t>
  </si>
  <si>
    <t>MESSORE ELISA H</t>
  </si>
  <si>
    <t>Metropolitan Jewish Home Care, Inc d/b/a MJHS Home Care</t>
  </si>
  <si>
    <t>E0059364</t>
  </si>
  <si>
    <t>METROPOLITAN JEWISH HM CARE</t>
  </si>
  <si>
    <t>Jay Gormley VP of Planning, Research, and Innovation</t>
  </si>
  <si>
    <t>(212) 356-5419</t>
  </si>
  <si>
    <t>jgormley@mjhs.org</t>
  </si>
  <si>
    <t>METROPOLITAN JEWISH HOME CARE INC.</t>
  </si>
  <si>
    <t>440 9TH AVE FL 14</t>
  </si>
  <si>
    <t>MIKHEYEV VYACHESLAV</t>
  </si>
  <si>
    <t>E0355153</t>
  </si>
  <si>
    <t>ROSTOCKI BERNICE</t>
  </si>
  <si>
    <t>E0316480</t>
  </si>
  <si>
    <t>ROSTOCKI BERNICE ANN</t>
  </si>
  <si>
    <t>711 TROY SCHENECTADY RD STE 104</t>
  </si>
  <si>
    <t>LATHAM</t>
  </si>
  <si>
    <t>JOHN ANISH</t>
  </si>
  <si>
    <t>E0426669</t>
  </si>
  <si>
    <t>10 NATHAN D PERLMAN PL STE 2</t>
  </si>
  <si>
    <t>JOSHI SAGAR DR.</t>
  </si>
  <si>
    <t>25512 85TH AVE</t>
  </si>
  <si>
    <t>FLORAL PARK</t>
  </si>
  <si>
    <t>KLIMCHUCK ELAINA</t>
  </si>
  <si>
    <t>E0445579</t>
  </si>
  <si>
    <t>KLIMCHUCK ELAINA CAROLINE</t>
  </si>
  <si>
    <t>MAHARAJA BINAL DR.</t>
  </si>
  <si>
    <t>PARIHAR KARANJIT DR.</t>
  </si>
  <si>
    <t>8348 258TH ST</t>
  </si>
  <si>
    <t>GLEN OAKS</t>
  </si>
  <si>
    <t>SAWHNE JASMINE DR.</t>
  </si>
  <si>
    <t>CREEDMOOR PSYCHIATRIC CENTER</t>
  </si>
  <si>
    <t>TRUONG ANH DR.</t>
  </si>
  <si>
    <t>30 WASHINGTON ST, APT 6B</t>
  </si>
  <si>
    <t>INTERLINE EAP</t>
  </si>
  <si>
    <t>E0124331</t>
  </si>
  <si>
    <t>INTERLINE EMP ASST PROG INC</t>
  </si>
  <si>
    <t>Robert Corrado</t>
  </si>
  <si>
    <t>(718) 206-1368</t>
  </si>
  <si>
    <t>rcorrado@interlineeap.org</t>
  </si>
  <si>
    <t>All Other:: Substance Abuse</t>
  </si>
  <si>
    <t>148-39 HILLSIDE AVE</t>
  </si>
  <si>
    <t>KHAN NAZMUL DR.</t>
  </si>
  <si>
    <t>E0115440</t>
  </si>
  <si>
    <t>NAZMUL H KHAN MD</t>
  </si>
  <si>
    <t>Nazmul Khan</t>
  </si>
  <si>
    <t>KHAN NAZMUL HOSSAIN</t>
  </si>
  <si>
    <t>17005 HIGHLAND AVE</t>
  </si>
  <si>
    <t>NRI GROUP, LLC</t>
  </si>
  <si>
    <t>E0080107</t>
  </si>
  <si>
    <t>NRI GROUP LLC</t>
  </si>
  <si>
    <t>Don Hewlett</t>
  </si>
  <si>
    <t>(212) 967-0770</t>
  </si>
  <si>
    <t>1,2,3&amp;4 FLOORS</t>
  </si>
  <si>
    <t>Missing Contact Email</t>
  </si>
  <si>
    <t>CANARSIE AWARE</t>
  </si>
  <si>
    <t>E0147125</t>
  </si>
  <si>
    <t>CANARSIE AWARE INC</t>
  </si>
  <si>
    <t>Patricia Charles</t>
  </si>
  <si>
    <t>(718) 257-3195</t>
  </si>
  <si>
    <t>patricia.charles@canarsieaware.org</t>
  </si>
  <si>
    <t>All Other:: Mental Health:: Substance Abuse</t>
  </si>
  <si>
    <t>CANARSIE AWARE CL</t>
  </si>
  <si>
    <t>CATH CHAR NGHBHD SVS ADESSA ICF</t>
  </si>
  <si>
    <t>E0187016</t>
  </si>
  <si>
    <t>CATH CHAR NGHBHD SVCS ADESSA ICF</t>
  </si>
  <si>
    <t>Patricia Bowles</t>
  </si>
  <si>
    <t>(718) 722-6146</t>
  </si>
  <si>
    <t>tbowles@ccbq.org</t>
  </si>
  <si>
    <t>ADESSA HOUSE</t>
  </si>
  <si>
    <t>OZONE PARK</t>
  </si>
  <si>
    <t>CATH CHAR NGHBHD SVS CALDWELL ICF</t>
  </si>
  <si>
    <t>E0186995</t>
  </si>
  <si>
    <t>CATH CHAR NGHBHD SVCS CALDWELL ICF</t>
  </si>
  <si>
    <t>CALDWELL HOUSE</t>
  </si>
  <si>
    <t>SOUTH OZONE PARK</t>
  </si>
  <si>
    <t>CATH CHAR NGHBHD SVS MCLEES ICF</t>
  </si>
  <si>
    <t>E0186993</t>
  </si>
  <si>
    <t>CATH CHAR NGHBHD SVCS MCLEES ICF</t>
  </si>
  <si>
    <t>MCLEES HOUSE</t>
  </si>
  <si>
    <t>SAINT ALBANS</t>
  </si>
  <si>
    <t>CATH CHAR NGHBHD SVS MUGAVERO ICF</t>
  </si>
  <si>
    <t>E0186996</t>
  </si>
  <si>
    <t>CATH CHAR NGHBHD SVCS MUGAVERO ICF</t>
  </si>
  <si>
    <t>MUGAVERO MANOR</t>
  </si>
  <si>
    <t>SUN WEI DR.</t>
  </si>
  <si>
    <t>E0041413</t>
  </si>
  <si>
    <t>SUN WEI YUE MD</t>
  </si>
  <si>
    <t>7618 18TH AVE FL 1</t>
  </si>
  <si>
    <t>WICKWARE NANCY MS.</t>
  </si>
  <si>
    <t>33 5TH ST, PH SUITE</t>
  </si>
  <si>
    <t>STAMFORD</t>
  </si>
  <si>
    <t>CT</t>
  </si>
  <si>
    <t>CLIFFSIDE REH &amp; RES HLT CR CT</t>
  </si>
  <si>
    <t>E0268143</t>
  </si>
  <si>
    <t>CLIFFSIDE NURSING HOME INC</t>
  </si>
  <si>
    <t>119-19 GRAHAM CT</t>
  </si>
  <si>
    <t>CLIFFSIDE RENAL DIALYSIS</t>
  </si>
  <si>
    <t>E0026258</t>
  </si>
  <si>
    <t>CRD ASSOCIATES LLC</t>
  </si>
  <si>
    <t>CLOUTIER-CHAMPAGNE LAURENCE</t>
  </si>
  <si>
    <t>E0372261</t>
  </si>
  <si>
    <t>81 W 115TH ST</t>
  </si>
  <si>
    <t>ST MARY'S HOSPITAL FOR CHILDREN</t>
  </si>
  <si>
    <t>E0196573</t>
  </si>
  <si>
    <t>ST MARYS HOSP FOR CHILD ADC</t>
  </si>
  <si>
    <t>MADISON YORK ASSISTED LVG CM</t>
  </si>
  <si>
    <t>E0022131</t>
  </si>
  <si>
    <t>Mark Bienstock</t>
  </si>
  <si>
    <t>(718) 879-1427</t>
  </si>
  <si>
    <t>markb@theyork-group.com</t>
  </si>
  <si>
    <t>11214 CORONA AVE</t>
  </si>
  <si>
    <t>LEXINGTON HEARING AND SPEECH CENTER, INC.</t>
  </si>
  <si>
    <t>E0232916</t>
  </si>
  <si>
    <t>LEXINGTON HEARING AND SPEECH</t>
  </si>
  <si>
    <t>Adel Agin</t>
  </si>
  <si>
    <t>(718) 350-3110</t>
  </si>
  <si>
    <t>aagin@LEXNYC.ORG</t>
  </si>
  <si>
    <t>7420 25TH AVE</t>
  </si>
  <si>
    <t>EAST ELMHURST</t>
  </si>
  <si>
    <t>JENNERJAHN HANS</t>
  </si>
  <si>
    <t>E0290824</t>
  </si>
  <si>
    <t>JENNERJAHN HANS P PA</t>
  </si>
  <si>
    <t>JENNERJAHN HANS P  PA</t>
  </si>
  <si>
    <t>5916 174TH ST</t>
  </si>
  <si>
    <t>LOMBARDI CHARLES MR.</t>
  </si>
  <si>
    <t>E0205177</t>
  </si>
  <si>
    <t>LOMBARDI CHARLES M DPM</t>
  </si>
  <si>
    <t>LEE ANDY</t>
  </si>
  <si>
    <t>E0082922</t>
  </si>
  <si>
    <t>LEE ANDY MING MD</t>
  </si>
  <si>
    <t>5645 MAIN ST # W-LL300</t>
  </si>
  <si>
    <t>NIETO JAIME DR.</t>
  </si>
  <si>
    <t>E0061702</t>
  </si>
  <si>
    <t>NIETO JAIME H MD</t>
  </si>
  <si>
    <t>4802 10TH AVE</t>
  </si>
  <si>
    <t>HARDY CURTIS</t>
  </si>
  <si>
    <t>E0089230</t>
  </si>
  <si>
    <t>HARDY CURTIS LEE MD</t>
  </si>
  <si>
    <t>9002 QUEENS BLVD</t>
  </si>
  <si>
    <t>BRESSNER ROBERT DR.</t>
  </si>
  <si>
    <t>E0140810</t>
  </si>
  <si>
    <t>BRESSNER ROBERT STUART MD</t>
  </si>
  <si>
    <t>Akiva Glatzer</t>
  </si>
  <si>
    <t>(347) 585-7990</t>
  </si>
  <si>
    <t>aglatzer@holliswood.net</t>
  </si>
  <si>
    <t>LONG BEACH</t>
  </si>
  <si>
    <t>THOMPSON MAUREEN MS.</t>
  </si>
  <si>
    <t>E0033726</t>
  </si>
  <si>
    <t>THOMPSON MAUREEN ALTHEA</t>
  </si>
  <si>
    <t>1160 TELLER AVE</t>
  </si>
  <si>
    <t>PANHANI RAMKUMAR</t>
  </si>
  <si>
    <t>E0141648</t>
  </si>
  <si>
    <t>PANHANI RAMKUMAR MD</t>
  </si>
  <si>
    <t>APT 3G</t>
  </si>
  <si>
    <t>CORBIN JENNIFER</t>
  </si>
  <si>
    <t>2015 GRAND CONCOURSE</t>
  </si>
  <si>
    <t>KANG MIYOUNG</t>
  </si>
  <si>
    <t>E0382479</t>
  </si>
  <si>
    <t>KIM OKSOOK</t>
  </si>
  <si>
    <t>E0348304</t>
  </si>
  <si>
    <t>BORG LISA DR.</t>
  </si>
  <si>
    <t>E0291630</t>
  </si>
  <si>
    <t>BORG LISA</t>
  </si>
  <si>
    <t>COTTERELL KEVIN DR.</t>
  </si>
  <si>
    <t>E0164306</t>
  </si>
  <si>
    <t>COTTERELL KEVIN PAUL  MD</t>
  </si>
  <si>
    <t>STE 403</t>
  </si>
  <si>
    <t>MOROZ GEORGES DR.</t>
  </si>
  <si>
    <t>E0214324</t>
  </si>
  <si>
    <t>MOROZ GEORGES              MD</t>
  </si>
  <si>
    <t>MOROZ GEORGES</t>
  </si>
  <si>
    <t>ROSENMANN CARL</t>
  </si>
  <si>
    <t>E0360868</t>
  </si>
  <si>
    <t>ROSENMANN CARL JAY</t>
  </si>
  <si>
    <t>SOBEL JOAN MS.</t>
  </si>
  <si>
    <t>E0251459</t>
  </si>
  <si>
    <t>SOBEL JOAN</t>
  </si>
  <si>
    <t>STEARNS ALAN DR.</t>
  </si>
  <si>
    <t>E0113280</t>
  </si>
  <si>
    <t>STEARNS ALAN</t>
  </si>
  <si>
    <t>8 E 3RD ST</t>
  </si>
  <si>
    <t>TAM RAYMOND</t>
  </si>
  <si>
    <t>E0130415</t>
  </si>
  <si>
    <t>TAM RAYMOND DING CHI</t>
  </si>
  <si>
    <t>9520 63RD RD STE 2J</t>
  </si>
  <si>
    <t>JAYASEKARA WEERASINGHEGE</t>
  </si>
  <si>
    <t>E0388171</t>
  </si>
  <si>
    <t>JAYASEKARA WEERASINGHEGE B S</t>
  </si>
  <si>
    <t>JAYASEKARA WEERASINGHEGE BERNARD SU</t>
  </si>
  <si>
    <t>1819 BERGEN ST</t>
  </si>
  <si>
    <t>MEADOW PARK REHABILITATION AND HEALTH CARE CENTER, LLC</t>
  </si>
  <si>
    <t>E0268177</t>
  </si>
  <si>
    <t>MEADOW PARK REH &amp; HLT CR CT</t>
  </si>
  <si>
    <t>STEVE ADLER</t>
  </si>
  <si>
    <t>(718) 591-8300</t>
  </si>
  <si>
    <t>SADLER@MPRCARE.COM</t>
  </si>
  <si>
    <t>MEADOW PARK REHAB &amp; HLTH CARE CTR</t>
  </si>
  <si>
    <t>78 10 164 STREET</t>
  </si>
  <si>
    <t>ZEITLIN ADAM DR.</t>
  </si>
  <si>
    <t>E0041501</t>
  </si>
  <si>
    <t>ZEITLIN ADAM D</t>
  </si>
  <si>
    <t>5834 MAIN ST</t>
  </si>
  <si>
    <t>LODHA ANUPAMA MRS.</t>
  </si>
  <si>
    <t>E0033866</t>
  </si>
  <si>
    <t>LODHA ANUPAMA MD</t>
  </si>
  <si>
    <t>LODHA ANUPAMA</t>
  </si>
  <si>
    <t>6852 FRESH POND RD</t>
  </si>
  <si>
    <t>RIDGEWOOD</t>
  </si>
  <si>
    <t>ELM YORK ALP</t>
  </si>
  <si>
    <t>E0155150</t>
  </si>
  <si>
    <t>10030 DITMARS BLVD</t>
  </si>
  <si>
    <t>KOPPLE SARA</t>
  </si>
  <si>
    <t>E0359236</t>
  </si>
  <si>
    <t>KOPPLE SARA ELIZABETH</t>
  </si>
  <si>
    <t>TURETT GLENN</t>
  </si>
  <si>
    <t>E0164220</t>
  </si>
  <si>
    <t>TURETT GLENN SCOTT MD</t>
  </si>
  <si>
    <t>HOLLISWOOD CARE CENTER INC</t>
  </si>
  <si>
    <t>Nursing Homes</t>
  </si>
  <si>
    <t>19544 WOODHULL AVENUE</t>
  </si>
  <si>
    <t>HOLLIS</t>
  </si>
  <si>
    <t>MILLER DAMATO CATHERINE</t>
  </si>
  <si>
    <t>E0288608</t>
  </si>
  <si>
    <t>MILLER-DAMATO CATHERINE HELEN</t>
  </si>
  <si>
    <t>246 E 90TH ST APT 2B</t>
  </si>
  <si>
    <t>KRIKHELY SHARON MRS.</t>
  </si>
  <si>
    <t>E0342874</t>
  </si>
  <si>
    <t>KRIKHELY SHARON</t>
  </si>
  <si>
    <t>111-17A QUEENS BLVD</t>
  </si>
  <si>
    <t>LA JASON</t>
  </si>
  <si>
    <t>E0382775</t>
  </si>
  <si>
    <t>179 EAST 116TH STREE</t>
  </si>
  <si>
    <t>SHAMIM KAUSAR</t>
  </si>
  <si>
    <t>E0115307</t>
  </si>
  <si>
    <t>SHAMIM KAUSAR MD</t>
  </si>
  <si>
    <t>Rosemary Lopez</t>
  </si>
  <si>
    <t>(718) 896-2500</t>
  </si>
  <si>
    <t>rlopez@acqc.org</t>
  </si>
  <si>
    <t>OCEAN HOUSE</t>
  </si>
  <si>
    <t>FAR ROCKAWAY</t>
  </si>
  <si>
    <t>SHAPIRO MIKHAIL</t>
  </si>
  <si>
    <t>E0110326</t>
  </si>
  <si>
    <t>SHAPIRO MIKHAIL DO</t>
  </si>
  <si>
    <t>16 LAMOKA AVE</t>
  </si>
  <si>
    <t>STATEN ISLAND</t>
  </si>
  <si>
    <t>SHETTY-DAS RENUKA</t>
  </si>
  <si>
    <t>E0110997</t>
  </si>
  <si>
    <t>SHETTY DAS RENUKA MD</t>
  </si>
  <si>
    <t>NYHMCQ JACKSON HGHTS</t>
  </si>
  <si>
    <t>SHLISELBERG NISSAN</t>
  </si>
  <si>
    <t>E0203217</t>
  </si>
  <si>
    <t>SHLISELBERG NISSAN         MD</t>
  </si>
  <si>
    <t>APT 1E</t>
  </si>
  <si>
    <t>SILVA MICHELLE</t>
  </si>
  <si>
    <t>549 W 180TH ST</t>
  </si>
  <si>
    <t>SINCLAIR PAULA DR.</t>
  </si>
  <si>
    <t>E0033369</t>
  </si>
  <si>
    <t>SINCLAIR PAULA ALMALINDA MD</t>
  </si>
  <si>
    <t>1650 GRAND CONCOURSE</t>
  </si>
  <si>
    <t>SINHA RITA</t>
  </si>
  <si>
    <t>E0021030</t>
  </si>
  <si>
    <t>SINHA RITA MD</t>
  </si>
  <si>
    <t>5115 BEACH CHANNEL DR</t>
  </si>
  <si>
    <t>SODHI DIMPLE</t>
  </si>
  <si>
    <t>E0340013</t>
  </si>
  <si>
    <t>Flora R. Bienstock</t>
  </si>
  <si>
    <t>(718) 327-3180</t>
  </si>
  <si>
    <t>Flora@nhcc.us</t>
  </si>
  <si>
    <t>2201 HEMPSTEAD TPKE</t>
  </si>
  <si>
    <t>EAST MEADOW</t>
  </si>
  <si>
    <t>SPRECHER STANLEY DR.</t>
  </si>
  <si>
    <t>E0265166</t>
  </si>
  <si>
    <t>SPRECHER STANLEY MD</t>
  </si>
  <si>
    <t>St Marys Hospital for Children</t>
  </si>
  <si>
    <t>E0268002</t>
  </si>
  <si>
    <t>ST MARYS HOSPITAL FOR CHILDRE</t>
  </si>
  <si>
    <t>St. Marys Community Care Professionals Corp</t>
  </si>
  <si>
    <t>E0121680</t>
  </si>
  <si>
    <t>ST MARY'S COMM CARE PROF INC</t>
  </si>
  <si>
    <t>ST MARY'S COMMUNITY CARE PROFESSIONAL, CORP.</t>
  </si>
  <si>
    <t>ST MARY'S COMM CARE PROF CORP</t>
  </si>
  <si>
    <t>5 DAKOTA DR STE 200</t>
  </si>
  <si>
    <t>NURSE</t>
  </si>
  <si>
    <t>STAPLE KAREN MRS.</t>
  </si>
  <si>
    <t>E0337904</t>
  </si>
  <si>
    <t>STAPLES KAREN</t>
  </si>
  <si>
    <t>STAPLE KAREN</t>
  </si>
  <si>
    <t>KAHN DAVID</t>
  </si>
  <si>
    <t>E0224226</t>
  </si>
  <si>
    <t>KAHN DAVID I               MD</t>
  </si>
  <si>
    <t>295 W 231ST ST</t>
  </si>
  <si>
    <t>Scheuer Gardens Limited Partnership</t>
  </si>
  <si>
    <t>David Friedman</t>
  </si>
  <si>
    <t>(718) 519-4022</t>
  </si>
  <si>
    <t>dfriedman@centerlight.org</t>
  </si>
  <si>
    <t>Housing</t>
  </si>
  <si>
    <t>2540 Barker Avenue</t>
  </si>
  <si>
    <t>Bronx</t>
  </si>
  <si>
    <t>Scheuer Plaza Limited Partnership</t>
  </si>
  <si>
    <t>2505 Barker Avenue</t>
  </si>
  <si>
    <t>Schnurmacher Center for Rehabilitation and Nursing</t>
  </si>
  <si>
    <t>E0190789</t>
  </si>
  <si>
    <t>SCHNURMACHER CENTER REH &amp; NRS</t>
  </si>
  <si>
    <t>SCHNURMACHER CENTER FOR REHABILITATION AND NURSING</t>
  </si>
  <si>
    <t>12 TIBBITS AVE</t>
  </si>
  <si>
    <t>WHITE PLAINS</t>
  </si>
  <si>
    <t>SCHUMANN MARC</t>
  </si>
  <si>
    <t>E0181994</t>
  </si>
  <si>
    <t>SCHUMANN MARC SETH-JON DPM</t>
  </si>
  <si>
    <t>260 W SUNRISE HWY STE 111</t>
  </si>
  <si>
    <t>VALLEY STREAM</t>
  </si>
  <si>
    <t>SCHWARTZ-MOSER LAURIE MS.</t>
  </si>
  <si>
    <t>E0000475</t>
  </si>
  <si>
    <t>SCHWARTZ-MOSER LAURIE</t>
  </si>
  <si>
    <t>18803 JAMAICA AVE</t>
  </si>
  <si>
    <t>SCKELL BLANCA</t>
  </si>
  <si>
    <t>E0112140</t>
  </si>
  <si>
    <t>SCKELL BLANCA M MD</t>
  </si>
  <si>
    <t>MONTEFIORE MED GRP</t>
  </si>
  <si>
    <t>SEHATI FARZIN DR.</t>
  </si>
  <si>
    <t>E0106321</t>
  </si>
  <si>
    <t>SEHATI FARZIN DO</t>
  </si>
  <si>
    <t>6861 YELLOWSTONE BLVD</t>
  </si>
  <si>
    <t>SELFHELP COMMUNITY SER INC NHTD</t>
  </si>
  <si>
    <t>E0303519</t>
  </si>
  <si>
    <t>Russell Lusak</t>
  </si>
  <si>
    <t>(212) 971-7707</t>
  </si>
  <si>
    <t>rlusak@selfhelp.net</t>
  </si>
  <si>
    <t>520 8TH AVE</t>
  </si>
  <si>
    <t>Arjune, Dulmanie</t>
  </si>
  <si>
    <t>E0154005</t>
  </si>
  <si>
    <t>ARJUNE DULMANIE PHD</t>
  </si>
  <si>
    <t>Stuart Weger</t>
  </si>
  <si>
    <t>(914) 949-1199</t>
  </si>
  <si>
    <t>Sweger@IPCM.com</t>
  </si>
  <si>
    <t>ARJUNE DULMANIE DR.</t>
  </si>
  <si>
    <t>ARJUNE DULMANIE</t>
  </si>
  <si>
    <t>9419 59TH AVE</t>
  </si>
  <si>
    <t>Chrzanowski, Conrad</t>
  </si>
  <si>
    <t>E0315152</t>
  </si>
  <si>
    <t>CONRAD STEPHEN CHRZANOWSKI</t>
  </si>
  <si>
    <t>CHRZANOWSKI CONRAD</t>
  </si>
  <si>
    <t>CHRZANOWSKI CONRAD STEPHEN</t>
  </si>
  <si>
    <t>303 MERRICK RD STE 204</t>
  </si>
  <si>
    <t>LYNBROOK</t>
  </si>
  <si>
    <t>Ellenbogen, David</t>
  </si>
  <si>
    <t>E0006115</t>
  </si>
  <si>
    <t>DAVID JASON ELLENBOGEN DPM</t>
  </si>
  <si>
    <t>ELLENBOGEN DAVID DR.</t>
  </si>
  <si>
    <t>ELLENBOGEN DAVID JASON DPM</t>
  </si>
  <si>
    <t>1421 3RD AVE</t>
  </si>
  <si>
    <t>Figlerski, Robert</t>
  </si>
  <si>
    <t>E0110221</t>
  </si>
  <si>
    <t>FIGLERSKI ROBERT W PHD</t>
  </si>
  <si>
    <t>FIGLERSKI ROBERT</t>
  </si>
  <si>
    <t>FIGLERSKI ROBERT WALTER PHD</t>
  </si>
  <si>
    <t>271-11 76TH AVE</t>
  </si>
  <si>
    <t>Hahn, Laura</t>
  </si>
  <si>
    <t>E0094626</t>
  </si>
  <si>
    <t>HAHN LAURA BETTE PHD</t>
  </si>
  <si>
    <t>HAHN LAURA</t>
  </si>
  <si>
    <t>14445 87TH AVE</t>
  </si>
  <si>
    <t>Kotsaftis, Antonios</t>
  </si>
  <si>
    <t>E0079633</t>
  </si>
  <si>
    <t>KOTSAFTIS ANTONIOS</t>
  </si>
  <si>
    <t>Peretz, Lydia</t>
  </si>
  <si>
    <t>E0100298</t>
  </si>
  <si>
    <t>PERETZ LYDIA KLEINER PHD</t>
  </si>
  <si>
    <t>PERETZ LYDIA</t>
  </si>
  <si>
    <t>PERETZ LYDIA KLEINER  PHD</t>
  </si>
  <si>
    <t>SR LIFE MANAGEMENT</t>
  </si>
  <si>
    <t>Scallon, Richard</t>
  </si>
  <si>
    <t>E0134493</t>
  </si>
  <si>
    <t>SCALLON RICHARD J</t>
  </si>
  <si>
    <t>SCALLON RICHARD DR.</t>
  </si>
  <si>
    <t>QUEEN OF PEACE RES</t>
  </si>
  <si>
    <t>Smith, Scott</t>
  </si>
  <si>
    <t>E0324694</t>
  </si>
  <si>
    <t>SCOTT PALMER SMITH</t>
  </si>
  <si>
    <t>SMITH SCOTT</t>
  </si>
  <si>
    <t>SMITH SCOTT PALMER</t>
  </si>
  <si>
    <t>Adler, David</t>
  </si>
  <si>
    <t>E0229392</t>
  </si>
  <si>
    <t>ADLER DAVID N              MD</t>
  </si>
  <si>
    <t>ADLER DAVID DR.</t>
  </si>
  <si>
    <t>SILVER LAKE N H</t>
  </si>
  <si>
    <t>Akhter, Pervez</t>
  </si>
  <si>
    <t>E0037643</t>
  </si>
  <si>
    <t>AKHTER PERVEZ MD</t>
  </si>
  <si>
    <t>AKHTER PERVEZ</t>
  </si>
  <si>
    <t>SOLOMON ELAINE</t>
  </si>
  <si>
    <t>E0318185</t>
  </si>
  <si>
    <t>TORRES JOHANA</t>
  </si>
  <si>
    <t>Neil Pollack</t>
  </si>
  <si>
    <t>(212) 360-3999</t>
  </si>
  <si>
    <t>npollack@archcare.org</t>
  </si>
  <si>
    <t>4013 73RD ST FL 3</t>
  </si>
  <si>
    <t>WOODSIDE</t>
  </si>
  <si>
    <t>GARCIA-OCHAKOVSKY AMELIA</t>
  </si>
  <si>
    <t>E0209864</t>
  </si>
  <si>
    <t>GARCIA OCHAKOVSKY AMELIA   MD</t>
  </si>
  <si>
    <t>Lianna Lee</t>
  </si>
  <si>
    <t>(718) 651-0096</t>
  </si>
  <si>
    <t>l.lee@elmcor.org</t>
  </si>
  <si>
    <t>100 N VILLAGE AVE STE 15</t>
  </si>
  <si>
    <t>CHRISTNELLY SCOTT MR.</t>
  </si>
  <si>
    <t>E0301456</t>
  </si>
  <si>
    <t>CHRISTNELLY SCOTT</t>
  </si>
  <si>
    <t>17561 HILLSIDE AVE</t>
  </si>
  <si>
    <t>FRIEDMAN DAVID MR.</t>
  </si>
  <si>
    <t>E0301441</t>
  </si>
  <si>
    <t>FRIEDMAN DAVID</t>
  </si>
  <si>
    <t>SCRIVANI JOSEPH MR.</t>
  </si>
  <si>
    <t>6836 108TH ST, APT. B22</t>
  </si>
  <si>
    <t>ANHALT LAURA</t>
  </si>
  <si>
    <t>7520 113TH ST APT 3D</t>
  </si>
  <si>
    <t>NEW YORK QUEENS MEDICINE AND SURGERY, P.C.</t>
  </si>
  <si>
    <t>E0323618</t>
  </si>
  <si>
    <t>NEW YORK QUEENS MEDICINE AND SURGER</t>
  </si>
  <si>
    <t>163-03 HORACE HARDING EXPY</t>
  </si>
  <si>
    <t>NIA KAMRAN DR.</t>
  </si>
  <si>
    <t>E0194472</t>
  </si>
  <si>
    <t>KAMRAN NIA  MD</t>
  </si>
  <si>
    <t>NIA KAMRAN  MD PC</t>
  </si>
  <si>
    <t>MARY IMMACULATE HOSP</t>
  </si>
  <si>
    <t>NIEWINSKI CYNTHIA MRS.</t>
  </si>
  <si>
    <t>TORRES CYNTHIA MRS.</t>
  </si>
  <si>
    <t>2001 BLUE HERON BLVD W</t>
  </si>
  <si>
    <t>RIVIERA BEACH</t>
  </si>
  <si>
    <t>FL</t>
  </si>
  <si>
    <t>NYS OFFICE OF MENTAL HEALTH</t>
  </si>
  <si>
    <t>E0029038</t>
  </si>
  <si>
    <t>CREEDMOOR PC</t>
  </si>
  <si>
    <t>8045 WINCHESTER BLVD</t>
  </si>
  <si>
    <t>OGULA VERONICA</t>
  </si>
  <si>
    <t>E0020640</t>
  </si>
  <si>
    <t>OGULA VERONICA NGOZI</t>
  </si>
  <si>
    <t>105-04 SUTPHIN BLVD</t>
  </si>
  <si>
    <t>JURGENS HELENE DR.</t>
  </si>
  <si>
    <t>8045 WINCHESTER BLVD, B73</t>
  </si>
  <si>
    <t>KUMAR SUNEELA DR.</t>
  </si>
  <si>
    <t>1474 SHORE DR</t>
  </si>
  <si>
    <t>PENNY JAMES DR.</t>
  </si>
  <si>
    <t>9515 HORACE HARDING EXPY</t>
  </si>
  <si>
    <t>CORONA</t>
  </si>
  <si>
    <t>SILVERMAN ROBERT DR.</t>
  </si>
  <si>
    <t>KHOURY NADINE DR.</t>
  </si>
  <si>
    <t>10 GRACE AVE, SUITE 12D</t>
  </si>
  <si>
    <t>GREAT NECK</t>
  </si>
  <si>
    <t>LUU HUN-JUE DR.</t>
  </si>
  <si>
    <t>15 E 40 STREET, SUITE 403</t>
  </si>
  <si>
    <t>NABAVIAN GUISSOO DR.</t>
  </si>
  <si>
    <t>1430 BROADWAY, RM 304</t>
  </si>
  <si>
    <t>JAFFEE ALAN DR.</t>
  </si>
  <si>
    <t>508 BROADWAY</t>
  </si>
  <si>
    <t>MONTICELLO</t>
  </si>
  <si>
    <t>FOREST HILLS CARE CENTER</t>
  </si>
  <si>
    <t>E0268232</t>
  </si>
  <si>
    <t>FOREST HILLS NURSING HOME</t>
  </si>
  <si>
    <t>Boris Nisanov</t>
  </si>
  <si>
    <t>(718) 544-4300</t>
  </si>
  <si>
    <t>boris@foresthillsnh.com</t>
  </si>
  <si>
    <t>71-44 YELLOWSTONE BLVD</t>
  </si>
  <si>
    <t>REALITY HOUSE INC</t>
  </si>
  <si>
    <t>E0294864</t>
  </si>
  <si>
    <t>REALITY HOUSE</t>
  </si>
  <si>
    <t>Hewitt DePass</t>
  </si>
  <si>
    <t>(202) 281-6004</t>
  </si>
  <si>
    <t>hdepass@realityhouseny.org</t>
  </si>
  <si>
    <t>8-13 ASTORIA BLVD</t>
  </si>
  <si>
    <t>NEW YORK COUNSELING FOR CHANGE, LCSW, PLLC</t>
  </si>
  <si>
    <t>E0319605</t>
  </si>
  <si>
    <t>NEW YORK COUNSELING FOR CHANGE</t>
  </si>
  <si>
    <t>Antoinette Rojas</t>
  </si>
  <si>
    <t>(646) 267-1242</t>
  </si>
  <si>
    <t>arojas@nycounselingforchange.org</t>
  </si>
  <si>
    <t>3720 74TH ST FL 3</t>
  </si>
  <si>
    <t>COYE DEIDRE</t>
  </si>
  <si>
    <t>Jeremy Merrill</t>
  </si>
  <si>
    <t>(718) 845-2620</t>
  </si>
  <si>
    <t>jeremy@nhcc.us</t>
  </si>
  <si>
    <t>108-19 ROCKAWAY BLVD</t>
  </si>
  <si>
    <t>MARGOLIS BATSHEVA</t>
  </si>
  <si>
    <t>ANAGNOSTOPOULOS CONSTANTIN</t>
  </si>
  <si>
    <t>E0274952</t>
  </si>
  <si>
    <t>ANAGNOSTOPOULOS CONSTANTIN MD</t>
  </si>
  <si>
    <t>Rahchel Bein</t>
  </si>
  <si>
    <t>(718) 236-4600</t>
  </si>
  <si>
    <t>rbein@fairviewrehab.com</t>
  </si>
  <si>
    <t>ANAGNOSTOPOULOS CONSTANTIN C</t>
  </si>
  <si>
    <t>3005 31ST AVE</t>
  </si>
  <si>
    <t>LONG ISLAND CITY</t>
  </si>
  <si>
    <t>GOLYAN BIJAN DR.</t>
  </si>
  <si>
    <t>E0140828</t>
  </si>
  <si>
    <t>GOLYAN BIJAN DO</t>
  </si>
  <si>
    <t>ST VINCENTS HSP</t>
  </si>
  <si>
    <t>HUANG QINGHONG</t>
  </si>
  <si>
    <t>E0080612</t>
  </si>
  <si>
    <t>HUANG QINGHONG MD</t>
  </si>
  <si>
    <t>3429 83RD ST</t>
  </si>
  <si>
    <t>ALLURI JAGGA</t>
  </si>
  <si>
    <t>E0089068</t>
  </si>
  <si>
    <t>ALLURI JAGGA RAO MD</t>
  </si>
  <si>
    <t>STE MD1</t>
  </si>
  <si>
    <t>ADLER MITCHELL</t>
  </si>
  <si>
    <t>E0267183</t>
  </si>
  <si>
    <t>ADLER MITCHELL DDS</t>
  </si>
  <si>
    <t>144-02 76TH RD</t>
  </si>
  <si>
    <t>MCQUADE SARAH</t>
  </si>
  <si>
    <t>7409 37TH AVE, SUITE 408</t>
  </si>
  <si>
    <t>Medical Arts Sanitarium, Inc</t>
  </si>
  <si>
    <t>E0271763</t>
  </si>
  <si>
    <t>MEDICAL ARTS SANITARIUM</t>
  </si>
  <si>
    <t>Paul Creary</t>
  </si>
  <si>
    <t>(718) 906-6700</t>
  </si>
  <si>
    <t>Pcreary@cornerstoneny.com</t>
  </si>
  <si>
    <t>MEDICAL ARTS SANITARIUM, INC.</t>
  </si>
  <si>
    <t>15905 UNION TPKE</t>
  </si>
  <si>
    <t>MILLET SHERLEY DR.</t>
  </si>
  <si>
    <t>E0101940</t>
  </si>
  <si>
    <t>MILLET SHERLEY MD</t>
  </si>
  <si>
    <t>MIRON WENDY</t>
  </si>
  <si>
    <t>4404 QUEENS BLVD, 2ND FLOOR</t>
  </si>
  <si>
    <t>SUNNYSIDE</t>
  </si>
  <si>
    <t>MITCHELL CLEMAINE</t>
  </si>
  <si>
    <t>E0372757</t>
  </si>
  <si>
    <t>MITCHELL CLEMAINE C</t>
  </si>
  <si>
    <t>1167 NOSTRAND AVE</t>
  </si>
  <si>
    <t>MJHS Hospice and Palliative Care</t>
  </si>
  <si>
    <t>E0191415</t>
  </si>
  <si>
    <t>JACOB PERLOW HOSPICE</t>
  </si>
  <si>
    <t>All Other:: Hospice</t>
  </si>
  <si>
    <t>MJHS HOSPICE AND PALLIATIVE CARE INC.</t>
  </si>
  <si>
    <t>MJHS HOSPICE AND PALLIATIVE CARE</t>
  </si>
  <si>
    <t>39 BROADWAY STE 200</t>
  </si>
  <si>
    <t>MOHAMMAD SAJJAD DR.</t>
  </si>
  <si>
    <t>E0091982</t>
  </si>
  <si>
    <t>MOHAMMAD SAJJAD</t>
  </si>
  <si>
    <t>1510 WATERS PL</t>
  </si>
  <si>
    <t>MOHAMMED MAGDY DR.</t>
  </si>
  <si>
    <t>E0163039</t>
  </si>
  <si>
    <t>BETTER CARE INC</t>
  </si>
  <si>
    <t>MOHAMMED MAGBY I MD</t>
  </si>
  <si>
    <t>8900 VAN WYCK EXPWY</t>
  </si>
  <si>
    <t>MOSBERG HERBERT</t>
  </si>
  <si>
    <t>E0274175</t>
  </si>
  <si>
    <t>MOSBERG HERBERT J PC       DO</t>
  </si>
  <si>
    <t>SOUTH NASSAU COMM</t>
  </si>
  <si>
    <t>OCEANSIDE</t>
  </si>
  <si>
    <t>TAVARES ROSA ANABELA DR.</t>
  </si>
  <si>
    <t>E0026871</t>
  </si>
  <si>
    <t>TAVARES ROSANABELA MD</t>
  </si>
  <si>
    <t>13303 JAMAICA AVE</t>
  </si>
  <si>
    <t>RICHMOND HILL</t>
  </si>
  <si>
    <t>NEW YORK QUEENS CV ANESTHESIA, PC</t>
  </si>
  <si>
    <t>E0024998</t>
  </si>
  <si>
    <t>NEW YORK QUEENS CV ANESTHESIA PC</t>
  </si>
  <si>
    <t>BOSA MARIA MRS.</t>
  </si>
  <si>
    <t>BOYADJIAN KEVORK DR.</t>
  </si>
  <si>
    <t>E0158614</t>
  </si>
  <si>
    <t>BOYADJIAN KEVORK GEORGE MD</t>
  </si>
  <si>
    <t>BOYADJIAN KEVORK GEORGE</t>
  </si>
  <si>
    <t>7506 ELIOT AVE</t>
  </si>
  <si>
    <t>MIDDLE VILLAGE</t>
  </si>
  <si>
    <t>BROOKE SHYVONNE</t>
  </si>
  <si>
    <t>E0382787</t>
  </si>
  <si>
    <t>BRYSKIN LAWRENCE DR.</t>
  </si>
  <si>
    <t>E0277562</t>
  </si>
  <si>
    <t>BRYSKIN LAWRENCE           MD</t>
  </si>
  <si>
    <t>157 E 80TH ST</t>
  </si>
  <si>
    <t>BUSSOLETTI NATALEE</t>
  </si>
  <si>
    <t>E0317144</t>
  </si>
  <si>
    <t>BUSSOLETTI NATALEE MARIE</t>
  </si>
  <si>
    <t>4215 3RD AVE FL 2</t>
  </si>
  <si>
    <t>CAI JING DR.</t>
  </si>
  <si>
    <t>E0302262</t>
  </si>
  <si>
    <t>CAI JING</t>
  </si>
  <si>
    <t>7305 168TH ST</t>
  </si>
  <si>
    <t>CALDERON DIANNA MRS.</t>
  </si>
  <si>
    <t>6207 WOODSIDE AVE 4TH. FLOOR</t>
  </si>
  <si>
    <t>CALDERON RUDDY MR.</t>
  </si>
  <si>
    <t>E0337581</t>
  </si>
  <si>
    <t>CALDERON RUDDY SMITH</t>
  </si>
  <si>
    <t>224 ALEXANDER ST</t>
  </si>
  <si>
    <t>ROCHESTER</t>
  </si>
  <si>
    <t>Calvary Hospital</t>
  </si>
  <si>
    <t>E0097722</t>
  </si>
  <si>
    <t>CALVARY HHA &amp; HOSPICE CARE</t>
  </si>
  <si>
    <t>David Grayson</t>
  </si>
  <si>
    <t>(718) 518-2244</t>
  </si>
  <si>
    <t>david.grayson@graysonandco.com</t>
  </si>
  <si>
    <t>CALVARY HOSPITAL INC.</t>
  </si>
  <si>
    <t>1740 EASTCHESTER RD</t>
  </si>
  <si>
    <t>E0271758</t>
  </si>
  <si>
    <t>CALVARY HOSPITAL INC</t>
  </si>
  <si>
    <t>david@graysonandco.com</t>
  </si>
  <si>
    <t>All Other:: Clinic:: Hospice:: Hospital</t>
  </si>
  <si>
    <t>JOSEPH LAURA</t>
  </si>
  <si>
    <t>9729 64TH RD, 1ST FLOOR</t>
  </si>
  <si>
    <t>KATZ ARLENE</t>
  </si>
  <si>
    <t>E0399932</t>
  </si>
  <si>
    <t>ARLENE KATZ</t>
  </si>
  <si>
    <t>KATZ ARLENE P</t>
  </si>
  <si>
    <t>240 LONG ISLAND AVE</t>
  </si>
  <si>
    <t>WYANDANCH</t>
  </si>
  <si>
    <t>KIMM THERESA MS.</t>
  </si>
  <si>
    <t>181 N 11TH ST, #404</t>
  </si>
  <si>
    <t>LICIAGA NELLIE</t>
  </si>
  <si>
    <t>LYCKE SUSAN</t>
  </si>
  <si>
    <t>MARTINEZ ALTAGRACIA</t>
  </si>
  <si>
    <t>MARTINIOUK OXANA</t>
  </si>
  <si>
    <t>MOORE GREGORY</t>
  </si>
  <si>
    <t>NEKTALOV ALLA</t>
  </si>
  <si>
    <t>19 UNION SQ W, 7TH FLOOR</t>
  </si>
  <si>
    <t>OLUWASEGUN GABRIEL</t>
  </si>
  <si>
    <t>11942 235TH ST</t>
  </si>
  <si>
    <t>CAMBRIA HEIGHTS</t>
  </si>
  <si>
    <t>RIGGS KATHRYN</t>
  </si>
  <si>
    <t>6207 WOODSIDE AVE, 4TH FLOOR</t>
  </si>
  <si>
    <t>ROBINSON ALBERT</t>
  </si>
  <si>
    <t>17800 LINDEN BLVD, E WING 2ND FLOOR ROOM 231</t>
  </si>
  <si>
    <t>ST. ALBANS</t>
  </si>
  <si>
    <t>ROMERO WALLACE</t>
  </si>
  <si>
    <t>SHAPIRO DEBORAH</t>
  </si>
  <si>
    <t>E0400404</t>
  </si>
  <si>
    <t>SHAPIRO DEBORAH L</t>
  </si>
  <si>
    <t>TARTAKOFF NANCY</t>
  </si>
  <si>
    <t>E0045913</t>
  </si>
  <si>
    <t>CHAPIN HOME FOR THE AGING</t>
  </si>
  <si>
    <t>E0134778</t>
  </si>
  <si>
    <t>CHAPIN HOME FOR AGING ADHC</t>
  </si>
  <si>
    <t>William O'Hara</t>
  </si>
  <si>
    <t>(718) 739-2523</t>
  </si>
  <si>
    <t>wohara@chapinhome.org</t>
  </si>
  <si>
    <t>165-01 CHAPIN PARKWAY</t>
  </si>
  <si>
    <t>CHAPIN HOME FOR THE AGING ADHC</t>
  </si>
  <si>
    <t>E0299850</t>
  </si>
  <si>
    <t>165-01 CHAPIN PKWY</t>
  </si>
  <si>
    <t>Odiah, Nnamdi</t>
  </si>
  <si>
    <t>E0337767</t>
  </si>
  <si>
    <t>ODIAH NNAMDI</t>
  </si>
  <si>
    <t>8268 164TH ST</t>
  </si>
  <si>
    <t>Purugganan, Romeo</t>
  </si>
  <si>
    <t>E0084947</t>
  </si>
  <si>
    <t>PURUGGANAN ROMEO SISON MD</t>
  </si>
  <si>
    <t>PURUGGANAN ROMEO</t>
  </si>
  <si>
    <t>JACOBI MED CTR</t>
  </si>
  <si>
    <t>Sussman, Daniel</t>
  </si>
  <si>
    <t>E0163348</t>
  </si>
  <si>
    <t>SUSSMAN DANIEL L MD</t>
  </si>
  <si>
    <t>SUSSMAN DANIEL DR.</t>
  </si>
  <si>
    <t>MT SINAI HOSP</t>
  </si>
  <si>
    <t>Buff, Daniel</t>
  </si>
  <si>
    <t>E0192107</t>
  </si>
  <si>
    <t>BUFF DANIEL DAVID MD</t>
  </si>
  <si>
    <t>BUFF DANIEL</t>
  </si>
  <si>
    <t>ST JOHNS HOSPITAL</t>
  </si>
  <si>
    <t>Ali, Sami</t>
  </si>
  <si>
    <t>E0394874</t>
  </si>
  <si>
    <t>ALI SAMI M</t>
  </si>
  <si>
    <t>ALI SAMI DR.</t>
  </si>
  <si>
    <t>315 S MANNING BLVD</t>
  </si>
  <si>
    <t>ALBANY</t>
  </si>
  <si>
    <t>Bezwada, Krishna</t>
  </si>
  <si>
    <t>E0296281</t>
  </si>
  <si>
    <t>BEZWADA KRISHNA</t>
  </si>
  <si>
    <t>BEZWADA KRISHNA KISHORE</t>
  </si>
  <si>
    <t>451 CLARKSON AVE FL 1 RM 1124</t>
  </si>
  <si>
    <t>Bhuiyan, Shamsul</t>
  </si>
  <si>
    <t>E0300669</t>
  </si>
  <si>
    <t>BHUIYAN SHAMSUL</t>
  </si>
  <si>
    <t>BHUIYAN SHAMSUL ALAM</t>
  </si>
  <si>
    <t>760 BROADWAY</t>
  </si>
  <si>
    <t>Reddy, Lokesh</t>
  </si>
  <si>
    <t>E0004001</t>
  </si>
  <si>
    <t>REDDY LOKESH KARUR</t>
  </si>
  <si>
    <t>REDDY LOKESH</t>
  </si>
  <si>
    <t>327 BEACH 19TH ST</t>
  </si>
  <si>
    <t>Zablow, Michael</t>
  </si>
  <si>
    <t>E0400815</t>
  </si>
  <si>
    <t>ZABLOW MICHAEL SCOTT</t>
  </si>
  <si>
    <t>ZABLOW MICHAEL</t>
  </si>
  <si>
    <t>Chernyshenko, Vladislav</t>
  </si>
  <si>
    <t>E0415359</t>
  </si>
  <si>
    <t>CHERNYSHENKO VLADISLAV</t>
  </si>
  <si>
    <t>CHERNYSHENKO VLADISLAV DR.</t>
  </si>
  <si>
    <t>Ghani, Javed</t>
  </si>
  <si>
    <t>E0031408</t>
  </si>
  <si>
    <t>GHANI JAVED MD</t>
  </si>
  <si>
    <t>GHANI JAVED</t>
  </si>
  <si>
    <t>2201 HEMPSTEAD TNPK</t>
  </si>
  <si>
    <t>Valmiki, Rajasekhar</t>
  </si>
  <si>
    <t>E0056300</t>
  </si>
  <si>
    <t>VALMIKI RAJASEKHAR KISHORE MD</t>
  </si>
  <si>
    <t>VALMIKI RAJASEKHAR</t>
  </si>
  <si>
    <t>127 S BROADWAY</t>
  </si>
  <si>
    <t>Rukavishnikova, Natalya</t>
  </si>
  <si>
    <t>E0300432</t>
  </si>
  <si>
    <t>RUKAVISHNIKOVA NATALYA</t>
  </si>
  <si>
    <t>1101 NOTT ST</t>
  </si>
  <si>
    <t>SCHENECTADY</t>
  </si>
  <si>
    <t>BARTOL DAVID DR.</t>
  </si>
  <si>
    <t>E0073661</t>
  </si>
  <si>
    <t>BARTOL DAVID DPM</t>
  </si>
  <si>
    <t>BARTOL DAVID MATTHEW</t>
  </si>
  <si>
    <t>1408 OCEAN AVE FL 3</t>
  </si>
  <si>
    <t>BULAUITAN MANUEL</t>
  </si>
  <si>
    <t>E0273817</t>
  </si>
  <si>
    <t>BULAUITAN MANUEL C         MD</t>
  </si>
  <si>
    <t>BULAUITAN MANUEL C</t>
  </si>
  <si>
    <t>299 WYCKOFF AVE</t>
  </si>
  <si>
    <t>CHERNICK STEPHEN</t>
  </si>
  <si>
    <t>E0223338</t>
  </si>
  <si>
    <t>CHERNICK STEPHEN BARRY DPM</t>
  </si>
  <si>
    <t>175 FULTON AVE STE 210</t>
  </si>
  <si>
    <t>HEMPSTEAD</t>
  </si>
  <si>
    <t>CIUFFO ROSEANN</t>
  </si>
  <si>
    <t>E0142870</t>
  </si>
  <si>
    <t>CIUFFO ROSEANN CAMILLE MD</t>
  </si>
  <si>
    <t>222 E 19TH ST</t>
  </si>
  <si>
    <t>CONETTA RICK</t>
  </si>
  <si>
    <t>E0186406</t>
  </si>
  <si>
    <t>CONETTA RICK MD</t>
  </si>
  <si>
    <t>FEYGIN POLINA</t>
  </si>
  <si>
    <t>E0127750</t>
  </si>
  <si>
    <t>FEYGIN POLINA MD</t>
  </si>
  <si>
    <t>11129 QUEENS BLVD</t>
  </si>
  <si>
    <t>GOYAL AMEET</t>
  </si>
  <si>
    <t>E0138009</t>
  </si>
  <si>
    <t>GOYAL AMEET KUMAR MD</t>
  </si>
  <si>
    <t>GOYAL AMEET KUMAR</t>
  </si>
  <si>
    <t>167 PURCHASE ST</t>
  </si>
  <si>
    <t>RYE</t>
  </si>
  <si>
    <t>HAMDANI MOIZ DR.</t>
  </si>
  <si>
    <t>E0000657</t>
  </si>
  <si>
    <t>MOIZ A HAMDANI</t>
  </si>
  <si>
    <t>HAMDANI MOIZ A MD</t>
  </si>
  <si>
    <t>10201 66TH RD</t>
  </si>
  <si>
    <t>KIM SUNG YUP DR.</t>
  </si>
  <si>
    <t>E0351102</t>
  </si>
  <si>
    <t>KIM SUNG YUP</t>
  </si>
  <si>
    <t>5 E 98TH ST</t>
  </si>
  <si>
    <t>DAVIS-CONWAY SARA</t>
  </si>
  <si>
    <t>E0296628</t>
  </si>
  <si>
    <t>SARA LEAH DAVIS-CONWAY</t>
  </si>
  <si>
    <t>DAVIS-CONWAY SARA LEAH</t>
  </si>
  <si>
    <t>1 OLD COUNTRY RD STE 271</t>
  </si>
  <si>
    <t>CARLE PLACE</t>
  </si>
  <si>
    <t>YANG LI</t>
  </si>
  <si>
    <t>E0389475</t>
  </si>
  <si>
    <t>139 CENTRE ST STE 703</t>
  </si>
  <si>
    <t>CARRASQUILLO JEFFREY</t>
  </si>
  <si>
    <t>6625 MAURICE AVE</t>
  </si>
  <si>
    <t>RUAN LILY</t>
  </si>
  <si>
    <t>E0384563</t>
  </si>
  <si>
    <t>1 PENN PLZ FL 7 STE 725</t>
  </si>
  <si>
    <t>LEMELLE CHERYL</t>
  </si>
  <si>
    <t>11211 179TH ST</t>
  </si>
  <si>
    <t>NGUYEN HA</t>
  </si>
  <si>
    <t>E0409763</t>
  </si>
  <si>
    <t>NGUYEN HA THU</t>
  </si>
  <si>
    <t>1 PENN PLZ FRNT 7 # 725</t>
  </si>
  <si>
    <t>AQUINO ARMANDO</t>
  </si>
  <si>
    <t>E0275061</t>
  </si>
  <si>
    <t>AQUINO VAZQUEZ ARMANDO A   MD</t>
  </si>
  <si>
    <t>Alexis Bosco</t>
  </si>
  <si>
    <t>(718) 788-2594</t>
  </si>
  <si>
    <t>sobro685@aol.com</t>
  </si>
  <si>
    <t>220 ADAMS AVE</t>
  </si>
  <si>
    <t>SGARLATO ANTHONY DR.</t>
  </si>
  <si>
    <t>E0191775</t>
  </si>
  <si>
    <t>SGARLATO ANTHONY RALPH MD</t>
  </si>
  <si>
    <t>LUTHERN MED CTR</t>
  </si>
  <si>
    <t>SO BROOKLYN MED ADMIN SVCS</t>
  </si>
  <si>
    <t>E0026459</t>
  </si>
  <si>
    <t>SOUTH BROOKLYN MEDICAL ADMINISTRATIVE SERVICES, INC.</t>
  </si>
  <si>
    <t>685 3RD AVE</t>
  </si>
  <si>
    <t>MIDDLETON CLAY ALTAMEASE</t>
  </si>
  <si>
    <t>E0343840</t>
  </si>
  <si>
    <t>9027 SUTPHIN BLVD FL 5</t>
  </si>
  <si>
    <t>MEDICAL HLTH RESEARCH ASC NYC</t>
  </si>
  <si>
    <t>E0273882</t>
  </si>
  <si>
    <t>Avital Havusha</t>
  </si>
  <si>
    <t>(646) 619-6530</t>
  </si>
  <si>
    <t>ahavusha@healthsolutions.org</t>
  </si>
  <si>
    <t>All Other:: Case Management / Health Home:: Clinic</t>
  </si>
  <si>
    <t>PUBLIC HEALTH SOLUTIONS</t>
  </si>
  <si>
    <t>BEDFORD MATERNITY</t>
  </si>
  <si>
    <t>GOLYAN JOSEPH DR.</t>
  </si>
  <si>
    <t>E0104151</t>
  </si>
  <si>
    <t>GOLYAN JOSEPH MD</t>
  </si>
  <si>
    <t>PARKWAY HOSP</t>
  </si>
  <si>
    <t>BADER PAUL DR.</t>
  </si>
  <si>
    <t>E0215723</t>
  </si>
  <si>
    <t>BADER PAUL B               MD</t>
  </si>
  <si>
    <t>11247 QUEENS BLVD SUITES 200 &amp; 208</t>
  </si>
  <si>
    <t>THOMPSON SEAN DR.</t>
  </si>
  <si>
    <t>E0303363</t>
  </si>
  <si>
    <t>THOMPSON SEAN</t>
  </si>
  <si>
    <t>8900 VAN WYCK EXPY STE 2</t>
  </si>
  <si>
    <t>OGUNFOWORA OLUSEGUN</t>
  </si>
  <si>
    <t>E0122521</t>
  </si>
  <si>
    <t>OGUNFOWORA OLUSEGUN O MD</t>
  </si>
  <si>
    <t>15840 79TH AVE</t>
  </si>
  <si>
    <t>OKOYE SAFIYYAH MS.</t>
  </si>
  <si>
    <t>E0345094</t>
  </si>
  <si>
    <t>OKOYE SAFIYYAH MARYAM</t>
  </si>
  <si>
    <t>3641 21ST ST</t>
  </si>
  <si>
    <t>OLIVERA ROSEMARIE MS.</t>
  </si>
  <si>
    <t>E0122028</t>
  </si>
  <si>
    <t>OLIVERA ROSEMARIE R CNM</t>
  </si>
  <si>
    <t>60 MADISON AVE 5TH FL</t>
  </si>
  <si>
    <t>OLTEAN ION</t>
  </si>
  <si>
    <t>E0091260</t>
  </si>
  <si>
    <t>OLTEAN ION MD</t>
  </si>
  <si>
    <t>45TH AVE @ PARSONS B</t>
  </si>
  <si>
    <t>OOMMEN SHOBIN</t>
  </si>
  <si>
    <t>E0284434</t>
  </si>
  <si>
    <t>OOMMEN SHOBIN MD</t>
  </si>
  <si>
    <t>372 S OYSTER BAY RD</t>
  </si>
  <si>
    <t>HICKSVILLE</t>
  </si>
  <si>
    <t>O'ROURKE JENNIFER MS.</t>
  </si>
  <si>
    <t>6207 WOODSIDE AVE 4TH FLOOR</t>
  </si>
  <si>
    <t>ORTIZ-SOBA YACYRENIA</t>
  </si>
  <si>
    <t>74-09 37TH AVENUE, SUITE 315, WESTERN QUEENS CONSULTATION CENTER</t>
  </si>
  <si>
    <t>PALACIO PATRICIA</t>
  </si>
  <si>
    <t>11045 71ST RD, 1G</t>
  </si>
  <si>
    <t>PALINSKI SUZANNE</t>
  </si>
  <si>
    <t>E0296262</t>
  </si>
  <si>
    <t>PALINSKI SUZANNE MARGARITA</t>
  </si>
  <si>
    <t>PARDESHI RAMSING</t>
  </si>
  <si>
    <t>E0211832</t>
  </si>
  <si>
    <t>PARDESHI RAMSING B         MD</t>
  </si>
  <si>
    <t>STE 7A</t>
  </si>
  <si>
    <t>PARK CHONG</t>
  </si>
  <si>
    <t>E0054156</t>
  </si>
  <si>
    <t>PARK CHONG HYUN MD</t>
  </si>
  <si>
    <t>Park Housing Development Fund Company Inc.</t>
  </si>
  <si>
    <t>2275 Olinville Avenue</t>
  </si>
  <si>
    <t>Parker Jewish Institute for Health Care and Rehabilitation</t>
  </si>
  <si>
    <t>E0267757</t>
  </si>
  <si>
    <t>PARKER JEWISH INST HLTH CR RE</t>
  </si>
  <si>
    <t>PARKER JEWISH INSTITUTE FOR HEALTH CARE AND REHABILTATION</t>
  </si>
  <si>
    <t>E0184985</t>
  </si>
  <si>
    <t>PARKER JEWISH GERIATRIC D&amp;T</t>
  </si>
  <si>
    <t>PARKER JEWISH INSTITUTE FOR HEALTH CARE AND REHABLITATION</t>
  </si>
  <si>
    <t>1 DELAWARE DR</t>
  </si>
  <si>
    <t>PARKER JEWISH INSTITUTE FOR HEALTH CARE REHABILITATION</t>
  </si>
  <si>
    <t>E0146943</t>
  </si>
  <si>
    <t>PARKER JEWISH GERIATRIC INST</t>
  </si>
  <si>
    <t>All Other:: Pharmacy</t>
  </si>
  <si>
    <t>PARKER JEWISH INSTITUTE FOR HEALTH CARE AND REHABILITATION</t>
  </si>
  <si>
    <t>PHARMACY</t>
  </si>
  <si>
    <t>YORK HOME CARE</t>
  </si>
  <si>
    <t>Home Health</t>
  </si>
  <si>
    <t>9804 ASTORIA BLVD</t>
  </si>
  <si>
    <t>LAO WILFREDO</t>
  </si>
  <si>
    <t>E0114023</t>
  </si>
  <si>
    <t>LAO WILFREDO SY MD</t>
  </si>
  <si>
    <t>LAO WILFREDO SY</t>
  </si>
  <si>
    <t>94-36 59TH AVE</t>
  </si>
  <si>
    <t>LASSUS VERONICA MRS.</t>
  </si>
  <si>
    <t>E0316990</t>
  </si>
  <si>
    <t>LASSUS VERONICA</t>
  </si>
  <si>
    <t>166 ESSEX ST</t>
  </si>
  <si>
    <t>LAVIN JOHN MR.</t>
  </si>
  <si>
    <t>6433 99TH ST, BASEMENT OFFICE</t>
  </si>
  <si>
    <t>LAZAR JOHN DR.</t>
  </si>
  <si>
    <t>E0215077</t>
  </si>
  <si>
    <t>LAZAR JOHN</t>
  </si>
  <si>
    <t>LAZO-MONTANEZ CHERYL MRS.</t>
  </si>
  <si>
    <t>LEE SANGWOO</t>
  </si>
  <si>
    <t>E0061041</t>
  </si>
  <si>
    <t>LEE SANGWOO MD</t>
  </si>
  <si>
    <t>6010 MAIN ST</t>
  </si>
  <si>
    <t>BABITSKY GEORGE DR.</t>
  </si>
  <si>
    <t>E0198054</t>
  </si>
  <si>
    <t>BABITSKY GEORGE            MD</t>
  </si>
  <si>
    <t>9876 QUEENS BLVD</t>
  </si>
  <si>
    <t>CHAIMOWITZ HYMIE DR.</t>
  </si>
  <si>
    <t>E0229184</t>
  </si>
  <si>
    <t>CHAIMOWITZ CHAIM DPM</t>
  </si>
  <si>
    <t>12 MARCUS DR</t>
  </si>
  <si>
    <t>MONSEY</t>
  </si>
  <si>
    <t>CHUBAK GARY</t>
  </si>
  <si>
    <t>E0255839</t>
  </si>
  <si>
    <t>CHUBAK GARY S</t>
  </si>
  <si>
    <t>DEPT OF OPHTHALMOL</t>
  </si>
  <si>
    <t>COHEN ALEXIS DR.</t>
  </si>
  <si>
    <t>E0327826</t>
  </si>
  <si>
    <t>COHEN ALEXIS</t>
  </si>
  <si>
    <t>COHEN ALEXIS B</t>
  </si>
  <si>
    <t>COMAN JOHN DR.</t>
  </si>
  <si>
    <t>E0213194</t>
  </si>
  <si>
    <t>COMAN JOHN C               MD</t>
  </si>
  <si>
    <t>16501 CHAPIN PKWY</t>
  </si>
  <si>
    <t>Community Healthcare Network, Inc</t>
  </si>
  <si>
    <t>E0230109</t>
  </si>
  <si>
    <t>COMMUNITY HEALTHCARE NETWORK</t>
  </si>
  <si>
    <t>ehowell.@chnnyc.org</t>
  </si>
  <si>
    <t>All Other:: Clinic:: Mental Health</t>
  </si>
  <si>
    <t>COMMUNITY HEALTHCARE NETWORK, INC</t>
  </si>
  <si>
    <t>4215 CRESCENT ST</t>
  </si>
  <si>
    <t>CREEDMOOR                  PC</t>
  </si>
  <si>
    <t>E0251915</t>
  </si>
  <si>
    <t>ON GROUNDS</t>
  </si>
  <si>
    <t>CRISARI FLAVIO DR.</t>
  </si>
  <si>
    <t>E0195338</t>
  </si>
  <si>
    <t>CRISARI FLAVIO MD</t>
  </si>
  <si>
    <t>CRISARI FLAVIO             MD</t>
  </si>
  <si>
    <t>8533 FOREST PKWY</t>
  </si>
  <si>
    <t>WOODHAVEN</t>
  </si>
  <si>
    <t>CRISOSTOMO EUGENIO DR.</t>
  </si>
  <si>
    <t>E0153221</t>
  </si>
  <si>
    <t>CRISOSTOMO EUGENIO S MD</t>
  </si>
  <si>
    <t>LITTLE NECK NH</t>
  </si>
  <si>
    <t>LITTLE NECK</t>
  </si>
  <si>
    <t>CSOMPO MICHAEL</t>
  </si>
  <si>
    <t>E0031456</t>
  </si>
  <si>
    <t>CSOMPO MICHAEL F MD</t>
  </si>
  <si>
    <t>82-68 134TH STREET</t>
  </si>
  <si>
    <t>DATT RIMJHIM</t>
  </si>
  <si>
    <t>KAMEL WAEL</t>
  </si>
  <si>
    <t>E0060631</t>
  </si>
  <si>
    <t>KAMEL ABDELHADY WAEL MD</t>
  </si>
  <si>
    <t>KHOURY SALIM DR.</t>
  </si>
  <si>
    <t>E0203446</t>
  </si>
  <si>
    <t>KHOURY SALIM A             MD</t>
  </si>
  <si>
    <t>14606 DELAWARE AVE</t>
  </si>
  <si>
    <t>KLEINBERG CHARLES DR.</t>
  </si>
  <si>
    <t>E0214493</t>
  </si>
  <si>
    <t>KLEINBERG CHARLES          MD</t>
  </si>
  <si>
    <t>1000 PARK AVE</t>
  </si>
  <si>
    <t>KIM JOHN DR.</t>
  </si>
  <si>
    <t>E0145316</t>
  </si>
  <si>
    <t>KIM JOHN H MD</t>
  </si>
  <si>
    <t>MAIMONIDES MED CTR</t>
  </si>
  <si>
    <t>LAN LI DR.</t>
  </si>
  <si>
    <t>E0296292</t>
  </si>
  <si>
    <t>LAN LI</t>
  </si>
  <si>
    <t>LIANG ELIZABETH</t>
  </si>
  <si>
    <t>E0325281</t>
  </si>
  <si>
    <t>LIPSKY WILLIAM</t>
  </si>
  <si>
    <t>E0214880</t>
  </si>
  <si>
    <t>LIPSKY WILLIAM MICHAEL     MD</t>
  </si>
  <si>
    <t>LIPSKY WILLIAM MICHAEL</t>
  </si>
  <si>
    <t>2749 LINDEN BLVD</t>
  </si>
  <si>
    <t>LOONA RAVI DR.</t>
  </si>
  <si>
    <t>E0267558</t>
  </si>
  <si>
    <t>LOONA RAVI PC              MD</t>
  </si>
  <si>
    <t>LOONA RAVI</t>
  </si>
  <si>
    <t>211-35 34TH RD</t>
  </si>
  <si>
    <t>MICIC LJUBISA</t>
  </si>
  <si>
    <t>E0110587</t>
  </si>
  <si>
    <t>MICIC LJUBISA SINISA MD</t>
  </si>
  <si>
    <t>MURILLO MAURICIO DR.</t>
  </si>
  <si>
    <t>E0062667</t>
  </si>
  <si>
    <t>MURILLO MAURICIO MD</t>
  </si>
  <si>
    <t>1249 5TH AVE</t>
  </si>
  <si>
    <t>NACO ELVA</t>
  </si>
  <si>
    <t>E0061469</t>
  </si>
  <si>
    <t>NACO ELVA   MD</t>
  </si>
  <si>
    <t>ST VINCENTS HSP MED</t>
  </si>
  <si>
    <t>NEGRIN ANNE DR.</t>
  </si>
  <si>
    <t>E0011301</t>
  </si>
  <si>
    <t>NEGRIN ANNE SARA MD</t>
  </si>
  <si>
    <t>185 KISCO AVE STE 500</t>
  </si>
  <si>
    <t>MOUNT KISCO</t>
  </si>
  <si>
    <t>OYIBORHORO JOHN DR.</t>
  </si>
  <si>
    <t>E0321349</t>
  </si>
  <si>
    <t>OYIBORHORO JOHN MOKORO A</t>
  </si>
  <si>
    <t>207 PROSPECT PARK SW</t>
  </si>
  <si>
    <t>MEDICAL APPLIANCE DEALER</t>
  </si>
  <si>
    <t>PALUMBO FRANK MR.</t>
  </si>
  <si>
    <t>E0064962</t>
  </si>
  <si>
    <t>PALUMBO FRANK MICHAEL</t>
  </si>
  <si>
    <t>PEPE DANIELLE</t>
  </si>
  <si>
    <t>E0364529</t>
  </si>
  <si>
    <t>11915 27TH AVE</t>
  </si>
  <si>
    <t>PONTONE GREGORY</t>
  </si>
  <si>
    <t>E0303324</t>
  </si>
  <si>
    <t>PONTONE GREGORY THOMAS</t>
  </si>
  <si>
    <t>RUBIN ALLEN DR.</t>
  </si>
  <si>
    <t>E0222253</t>
  </si>
  <si>
    <t>RUBIN ALLEN                MD</t>
  </si>
  <si>
    <t>7 REGENT DR</t>
  </si>
  <si>
    <t>LAWRENCE</t>
  </si>
  <si>
    <t>RUFFEN FREDERICK</t>
  </si>
  <si>
    <t>E0261741</t>
  </si>
  <si>
    <t>RUFFEN FREDERICK M</t>
  </si>
  <si>
    <t>RUFFEN FREDERICK DR.</t>
  </si>
  <si>
    <t>FREDERICK M RUFFEN</t>
  </si>
  <si>
    <t>30 ROOSEVELT ST</t>
  </si>
  <si>
    <t>GLEN COVE</t>
  </si>
  <si>
    <t>SEGAL TIMOTHY</t>
  </si>
  <si>
    <t>E0135011</t>
  </si>
  <si>
    <t>SEGAL TIMOTHY D MD</t>
  </si>
  <si>
    <t>PARK AVE HEALTHCARE</t>
  </si>
  <si>
    <t>STRITZLER RONALD DR.</t>
  </si>
  <si>
    <t>E0115003</t>
  </si>
  <si>
    <t>STRITZLER RONALD</t>
  </si>
  <si>
    <t>STRITZLER RONALD MD</t>
  </si>
  <si>
    <t>191-06 HILLSIDE AVE</t>
  </si>
  <si>
    <t>IQBAL PARVEEN</t>
  </si>
  <si>
    <t>E0150442</t>
  </si>
  <si>
    <t>IQBAL PARVEEN A MD</t>
  </si>
  <si>
    <t>4241 201ST ST</t>
  </si>
  <si>
    <t>LUM GEORGE DR.</t>
  </si>
  <si>
    <t>E0195729</t>
  </si>
  <si>
    <t>LUM GEORGE                 MD</t>
  </si>
  <si>
    <t>LUM GEORGE  MD</t>
  </si>
  <si>
    <t>13630 MAPLE AVE</t>
  </si>
  <si>
    <t>PAVLOVICI SHERBAN</t>
  </si>
  <si>
    <t>E0093511</t>
  </si>
  <si>
    <t>PAVLOVICI SHERBAN JR MD</t>
  </si>
  <si>
    <t>14430 SANFORD AVE</t>
  </si>
  <si>
    <t>PUCCIA VINCENT DR.</t>
  </si>
  <si>
    <t>E0169996</t>
  </si>
  <si>
    <t>PUCCIA VINCENT  MD</t>
  </si>
  <si>
    <t>PUCCIA VINCENT  A</t>
  </si>
  <si>
    <t>STEPANCIC MARIANO DR.</t>
  </si>
  <si>
    <t>E0158835</t>
  </si>
  <si>
    <t>STEPANCIC MARIANO MD</t>
  </si>
  <si>
    <t>5515 LITTLE NECK PKWY</t>
  </si>
  <si>
    <t>SABOGAL GONZALO</t>
  </si>
  <si>
    <t>E0107806</t>
  </si>
  <si>
    <t>SABOGAL GONZALO MD</t>
  </si>
  <si>
    <t>FL 2</t>
  </si>
  <si>
    <t>SCHWARTZ FRED DR.</t>
  </si>
  <si>
    <t>E0305205</t>
  </si>
  <si>
    <t>FRED S SCHWARTZ</t>
  </si>
  <si>
    <t>John Diaz-Chermack</t>
  </si>
  <si>
    <t>(347) 226-4804</t>
  </si>
  <si>
    <t>john.diazchermack@hospiceny.com</t>
  </si>
  <si>
    <t>SCHWARTZ FRED SHELDON</t>
  </si>
  <si>
    <t>4518 COURT SQ STE 500</t>
  </si>
  <si>
    <t>EGAN SARAH</t>
  </si>
  <si>
    <t>E0034928</t>
  </si>
  <si>
    <t>EGAN SARAH MCDAVITT</t>
  </si>
  <si>
    <t>ANNAN DAVID DR.</t>
  </si>
  <si>
    <t>E0359454</t>
  </si>
  <si>
    <t>ANNAN DAVID NII YARTEBOYE</t>
  </si>
  <si>
    <t>SELFHELP COMMUNITY SERVICES, INC</t>
  </si>
  <si>
    <t>520 EIGHTH AVENUE, 5TH FLOOR</t>
  </si>
  <si>
    <t>Selfhelp Family Home Care</t>
  </si>
  <si>
    <t>E0144097</t>
  </si>
  <si>
    <t>SELFHELP SPECIAL FAM HC INC</t>
  </si>
  <si>
    <t>SELFHELP SPECIAL FAMILY HOME CARE INC</t>
  </si>
  <si>
    <t>SERRANO ILEANA DR.</t>
  </si>
  <si>
    <t>E0009680</t>
  </si>
  <si>
    <t>SERRANO ILEANA</t>
  </si>
  <si>
    <t>SERRANO ILEANA MARIE</t>
  </si>
  <si>
    <t>SHAH NEENA MRS.</t>
  </si>
  <si>
    <t>E0048881</t>
  </si>
  <si>
    <t>SHAH NEENA MD</t>
  </si>
  <si>
    <t>QUEENS MED SVC</t>
  </si>
  <si>
    <t>SHAH UDAY DR.</t>
  </si>
  <si>
    <t>E0064545</t>
  </si>
  <si>
    <t>SHAH UDAY NIRANJAN MD</t>
  </si>
  <si>
    <t>4112 JUDGE ST</t>
  </si>
  <si>
    <t>DUDEK MONA</t>
  </si>
  <si>
    <t>E0310708</t>
  </si>
  <si>
    <t>DUKE WILLIAM DR.</t>
  </si>
  <si>
    <t>E0127301</t>
  </si>
  <si>
    <t>DUKE WILLIAM MENG MD</t>
  </si>
  <si>
    <t>14227 FRANKLIN AVE</t>
  </si>
  <si>
    <t>DUMRESE DANIELLE MS.</t>
  </si>
  <si>
    <t>E0340316</t>
  </si>
  <si>
    <t>DUMRESE DANIELLE LEE</t>
  </si>
  <si>
    <t>301 HACKETT BLVD</t>
  </si>
  <si>
    <t>DUNCAN TAMIKA MS.</t>
  </si>
  <si>
    <t>E0328305</t>
  </si>
  <si>
    <t>DUNCAN TAMIKA SIMONE</t>
  </si>
  <si>
    <t>94-98 MANHATTAN AVE</t>
  </si>
  <si>
    <t>ECHEGOYEN ROSSANNA</t>
  </si>
  <si>
    <t>E0284018</t>
  </si>
  <si>
    <t>2089 3RD AVE</t>
  </si>
  <si>
    <t>ELDERPLAN INC MAP</t>
  </si>
  <si>
    <t>E0301364</t>
  </si>
  <si>
    <t>Jay Gormley</t>
  </si>
  <si>
    <t>745 64TH ST</t>
  </si>
  <si>
    <t>CAPITATION PROVIDER</t>
  </si>
  <si>
    <t>Elite Home Services, LLC</t>
  </si>
  <si>
    <t>Gershon Strasser</t>
  </si>
  <si>
    <t>(718) 925-2525</t>
  </si>
  <si>
    <t>gstrasser@elitehhc.com</t>
  </si>
  <si>
    <t>ELITE HOME SERVICES LLC</t>
  </si>
  <si>
    <t>603 RUGBY RD, SUITE 2D</t>
  </si>
  <si>
    <t>Elmcor Youth and Adult Activities, Inc</t>
  </si>
  <si>
    <t>E0022959</t>
  </si>
  <si>
    <t>ELMCOR YOUTH ADULT ACT INC</t>
  </si>
  <si>
    <t>ELMCOR YOUTH &amp; ADULT ACTIVITIES INC</t>
  </si>
  <si>
    <t>OAS CL</t>
  </si>
  <si>
    <t>Peer Supports</t>
  </si>
  <si>
    <t>107-06 Northern Bouevard</t>
  </si>
  <si>
    <t>Corona</t>
  </si>
  <si>
    <t>Elmhurst Care Center</t>
  </si>
  <si>
    <t>E0089910</t>
  </si>
  <si>
    <t>ELMHURST CARE CENTER ADHC</t>
  </si>
  <si>
    <t>ELMHURST CARE CENTER INC</t>
  </si>
  <si>
    <t>100-17 23RD AVE</t>
  </si>
  <si>
    <t>EMPIRE STATE HM CARE SER</t>
  </si>
  <si>
    <t>E0068352</t>
  </si>
  <si>
    <t>EMPIRE ST HM CARE SER LTHHCP</t>
  </si>
  <si>
    <t>Esther Moas</t>
  </si>
  <si>
    <t>(347) 860-2385</t>
  </si>
  <si>
    <t>emoas@vnrhcs.org</t>
  </si>
  <si>
    <t>33 IRVING PL FL 11</t>
  </si>
  <si>
    <t>EMPIRE STATE HOME CARE SERVICES</t>
  </si>
  <si>
    <t>EMPIRE STATE HOME CARE SERVICES INC</t>
  </si>
  <si>
    <t>15 METROTECH CTR FL 10</t>
  </si>
  <si>
    <t>Extraordinary Home Care d/b/a St. Mary's Home Care</t>
  </si>
  <si>
    <t>E0319833</t>
  </si>
  <si>
    <t>EXTRAORDINARY HOME CARE</t>
  </si>
  <si>
    <t>FAIRVIEW NURSING CARE CENTER</t>
  </si>
  <si>
    <t>E0107277</t>
  </si>
  <si>
    <t>FAIRVIEW NRS CARE CENT ADHC</t>
  </si>
  <si>
    <t>69-70 GR CENTRAL PKW</t>
  </si>
  <si>
    <t>FAMILUSI ABIOLA</t>
  </si>
  <si>
    <t>E0140705</t>
  </si>
  <si>
    <t>FAMILUSI ABIOLA OLAWALE MD</t>
  </si>
  <si>
    <t>SOUTH BEACH MED PC</t>
  </si>
  <si>
    <t>STEPHENSON KAREN</t>
  </si>
  <si>
    <t>E0081643</t>
  </si>
  <si>
    <t>STEPHENSON KAREN MD</t>
  </si>
  <si>
    <t>613 THROOP AVE</t>
  </si>
  <si>
    <t>SUMMERS REBECCA DR.</t>
  </si>
  <si>
    <t>E0297335</t>
  </si>
  <si>
    <t>SUMMERS REBECCA</t>
  </si>
  <si>
    <t>SUMMERS REBECCA CHASE</t>
  </si>
  <si>
    <t>9498 MANHATTAN AVENUE</t>
  </si>
  <si>
    <t>CHEUNG MING</t>
  </si>
  <si>
    <t>E0089706</t>
  </si>
  <si>
    <t>CHEUNG MING MD</t>
  </si>
  <si>
    <t>170 WILLIAM ST FL 4</t>
  </si>
  <si>
    <t>KIRIT DHARIA MD,PC</t>
  </si>
  <si>
    <t>E0344672</t>
  </si>
  <si>
    <t>KIRIT DHARIA MD PC</t>
  </si>
  <si>
    <t>25-10 30TH AVE</t>
  </si>
  <si>
    <t>GOLDSTEIN LEONARD</t>
  </si>
  <si>
    <t>E0231226</t>
  </si>
  <si>
    <t>GOLDSTEIN LEONARD S OD     PC</t>
  </si>
  <si>
    <t>59-10 JUNCTION BLVD</t>
  </si>
  <si>
    <t>GOLD RICHARD DR.</t>
  </si>
  <si>
    <t>E0125965</t>
  </si>
  <si>
    <t>GOLD RICHARD ELLIOTT DO</t>
  </si>
  <si>
    <t>Jeffrey Onifather</t>
  </si>
  <si>
    <t>Jonifather@Cornerstoneny.com</t>
  </si>
  <si>
    <t>32 W 18TH ST</t>
  </si>
  <si>
    <t>SHAROV YAKOV</t>
  </si>
  <si>
    <t>E0302711</t>
  </si>
  <si>
    <t>209 AVENUE P</t>
  </si>
  <si>
    <t>AHSAN MOHAMMAD DR.</t>
  </si>
  <si>
    <t>E0025523</t>
  </si>
  <si>
    <t>AHSAN MOHAMMAD MD</t>
  </si>
  <si>
    <t>1110 EASTERN PKWY</t>
  </si>
  <si>
    <t>BEEK GRACE</t>
  </si>
  <si>
    <t>E0037677</t>
  </si>
  <si>
    <t>BEEK GRACE L</t>
  </si>
  <si>
    <t>WILLOCK SHARLENE MRS.</t>
  </si>
  <si>
    <t>E0299290</t>
  </si>
  <si>
    <t>WILLOCK SHARLENE</t>
  </si>
  <si>
    <t>150 55TH ST</t>
  </si>
  <si>
    <t>TWOHIG EVELYN MS.</t>
  </si>
  <si>
    <t>E0014625</t>
  </si>
  <si>
    <t>TWOHIG EVELYN</t>
  </si>
  <si>
    <t>TWOHIG EVELYN DEZA</t>
  </si>
  <si>
    <t>10 UNION SQ E</t>
  </si>
  <si>
    <t>MILLER MARGARET MRS.</t>
  </si>
  <si>
    <t>E0364844</t>
  </si>
  <si>
    <t>MILLER MARGARET MCDONALD</t>
  </si>
  <si>
    <t>500 MILAN HOLLOW RD</t>
  </si>
  <si>
    <t>RHINEBECK</t>
  </si>
  <si>
    <t>ARENAS CHONA</t>
  </si>
  <si>
    <t>E0371625</t>
  </si>
  <si>
    <t>ARENAS CHONA BALAUAG</t>
  </si>
  <si>
    <t>COHEN AMY MS.</t>
  </si>
  <si>
    <t>E0347288</t>
  </si>
  <si>
    <t>CONEN AMY</t>
  </si>
  <si>
    <t>COHEN AMY</t>
  </si>
  <si>
    <t>220 VETERANS HWY</t>
  </si>
  <si>
    <t>HAUPPAUGE</t>
  </si>
  <si>
    <t>SMITH PAULINE MS.</t>
  </si>
  <si>
    <t>E0012569</t>
  </si>
  <si>
    <t>SMITH PAULINE JOY</t>
  </si>
  <si>
    <t>CAMPETTA CARLOS MR.</t>
  </si>
  <si>
    <t>E0318133</t>
  </si>
  <si>
    <t>CAMPETTA CARLOS</t>
  </si>
  <si>
    <t>CANIZARES ALBERTO</t>
  </si>
  <si>
    <t>E0027610</t>
  </si>
  <si>
    <t>CANIZARES JOSE  MD</t>
  </si>
  <si>
    <t>CANLAS AURORA DR.</t>
  </si>
  <si>
    <t>E0342013</t>
  </si>
  <si>
    <t>CANLAS AURORA JULIANA</t>
  </si>
  <si>
    <t>POP AURORA DR.</t>
  </si>
  <si>
    <t>CARDENAS-CROWLEY SILVIA</t>
  </si>
  <si>
    <t>E0189212</t>
  </si>
  <si>
    <t>CARDENAS-CROWLEY SILVIA OLGA</t>
  </si>
  <si>
    <t>CASTILLO THERESA</t>
  </si>
  <si>
    <t>6204 WOODSIDE AVE</t>
  </si>
  <si>
    <t>MAIN STREET MEDICAL, P.C. - NEUROLOGY</t>
  </si>
  <si>
    <t>E0188304</t>
  </si>
  <si>
    <t>MAIN ST MED ASSOC PC  #208</t>
  </si>
  <si>
    <t>MAIN STREET MEDICAL, PC</t>
  </si>
  <si>
    <t>MAJE HAFIZ</t>
  </si>
  <si>
    <t>E0060108</t>
  </si>
  <si>
    <t>Margaret Tietz Nursing and Rehabilitation Center</t>
  </si>
  <si>
    <t>E0268126</t>
  </si>
  <si>
    <t>MARGARET TIETZ CENTER FOR NUR</t>
  </si>
  <si>
    <t>Paul Rosenfeld</t>
  </si>
  <si>
    <t>(718) 519-4032</t>
  </si>
  <si>
    <t>prosenfeld@centerlight.org</t>
  </si>
  <si>
    <t>MARGARET TIETZ NURSING AND REHABILITATION CENTER</t>
  </si>
  <si>
    <t>MARGARET TIETZ CTR FOR NURSING CARE</t>
  </si>
  <si>
    <t>16411 CHAPIN PKWY</t>
  </si>
  <si>
    <t>MARSALA CULLEN KIM MRS.</t>
  </si>
  <si>
    <t>E0446586</t>
  </si>
  <si>
    <t>MARSALA-CULLEN KIM</t>
  </si>
  <si>
    <t>MASTRANDREA JILL MS.</t>
  </si>
  <si>
    <t>MCCABE PATRICIA MISS</t>
  </si>
  <si>
    <t>E0320087</t>
  </si>
  <si>
    <t>MCCABE PATRICIA</t>
  </si>
  <si>
    <t>MCCABE PATRICIA MARY</t>
  </si>
  <si>
    <t>MCGINNIS NATHAN DR.</t>
  </si>
  <si>
    <t>E0355553</t>
  </si>
  <si>
    <t>MCGINNIS NATHAN LAMAR</t>
  </si>
  <si>
    <t>MCMEO NEASHA</t>
  </si>
  <si>
    <t>E0293967</t>
  </si>
  <si>
    <t>DUNCAN NEASHA</t>
  </si>
  <si>
    <t>MCMEO NEASHA DEANN</t>
  </si>
  <si>
    <t>52 E 14TH ST</t>
  </si>
  <si>
    <t>MCPHERSON CHRISTINA MS.</t>
  </si>
  <si>
    <t>E0323153</t>
  </si>
  <si>
    <t>MCPHERSON CHRISTINA</t>
  </si>
  <si>
    <t>MCQUADE JAMES DR.</t>
  </si>
  <si>
    <t>162 W 56TH ST, SUITE 502</t>
  </si>
  <si>
    <t>LEONART RALPH</t>
  </si>
  <si>
    <t>SUNG WEI-FUN</t>
  </si>
  <si>
    <t>E0162337</t>
  </si>
  <si>
    <t>SUNG WEI FUN MD</t>
  </si>
  <si>
    <t>14844 61ST RD</t>
  </si>
  <si>
    <t>SURE HERTZEL</t>
  </si>
  <si>
    <t>E0074705</t>
  </si>
  <si>
    <t>SURE HERTZEL MD LLC</t>
  </si>
  <si>
    <t>SURE HERTZEL K</t>
  </si>
  <si>
    <t>9425 60TH AVE UNIT B-4</t>
  </si>
  <si>
    <t>TAKHALOV ARKADIY</t>
  </si>
  <si>
    <t>E0083167</t>
  </si>
  <si>
    <t>4305 48TH AVE</t>
  </si>
  <si>
    <t>TAN JENNY</t>
  </si>
  <si>
    <t>E0318247</t>
  </si>
  <si>
    <t>TAN JENNY YU</t>
  </si>
  <si>
    <t>1996 AMSTERDAM AVE</t>
  </si>
  <si>
    <t>TANDON USHA DR.</t>
  </si>
  <si>
    <t>E0115579</t>
  </si>
  <si>
    <t>TANDON USHA K MD</t>
  </si>
  <si>
    <t>MT SINAI ELM FAC PRA</t>
  </si>
  <si>
    <t>RODRIGUEZ JOKATHLEEN MISS</t>
  </si>
  <si>
    <t>E0370095</t>
  </si>
  <si>
    <t>RODRIGUEZ JOKATHLEEN C</t>
  </si>
  <si>
    <t>SIMPSER EDWIN DR.</t>
  </si>
  <si>
    <t>E0187352</t>
  </si>
  <si>
    <t>SIMPSER EDWIN F MD</t>
  </si>
  <si>
    <t>VOLPE LINDA DR.</t>
  </si>
  <si>
    <t>E0178385</t>
  </si>
  <si>
    <t>VOLPE LINDA SUSAN MD</t>
  </si>
  <si>
    <t>NYMC PEDIATRICS DEPT</t>
  </si>
  <si>
    <t>VALHALLA</t>
  </si>
  <si>
    <t>WESTON LOIS MRS.</t>
  </si>
  <si>
    <t>E0372342</t>
  </si>
  <si>
    <t>WESTON LOIS SCHROEDER</t>
  </si>
  <si>
    <t>29-01 216TH ST</t>
  </si>
  <si>
    <t>ZLOBINSKIY ELLEN</t>
  </si>
  <si>
    <t>E0304180</t>
  </si>
  <si>
    <t>400 FORT WASHINGTON AVE APT 1A</t>
  </si>
  <si>
    <t>DECROSTA INGE</t>
  </si>
  <si>
    <t>E0322626</t>
  </si>
  <si>
    <t>259 1ST ST</t>
  </si>
  <si>
    <t>CALAMIA VINCENT</t>
  </si>
  <si>
    <t>E0215206</t>
  </si>
  <si>
    <t>CALAMIA VINCENT            MD</t>
  </si>
  <si>
    <t>STATEN ISLAND HOSPT</t>
  </si>
  <si>
    <t>DIMOND CAROL</t>
  </si>
  <si>
    <t>E0181564</t>
  </si>
  <si>
    <t>DIMOND CAROL L   MD</t>
  </si>
  <si>
    <t>DOGIM LILA DR.</t>
  </si>
  <si>
    <t>E0140864</t>
  </si>
  <si>
    <t>DOGIM LILA MD</t>
  </si>
  <si>
    <t>KINI JYOTI</t>
  </si>
  <si>
    <t>E0287239</t>
  </si>
  <si>
    <t>3251 WESTCHESTER AVE</t>
  </si>
  <si>
    <t>MAW KYEE DR.</t>
  </si>
  <si>
    <t>E0218323</t>
  </si>
  <si>
    <t>MAW KYEE TINT              MD</t>
  </si>
  <si>
    <t>3925 65TH ST</t>
  </si>
  <si>
    <t>POMERANTZ JANET</t>
  </si>
  <si>
    <t>E0162268</t>
  </si>
  <si>
    <t>POMERANTZ JANET ROBERTA MD</t>
  </si>
  <si>
    <t>POMERANTZ JANET ROBERTA</t>
  </si>
  <si>
    <t>380 WASHINGTON AVE</t>
  </si>
  <si>
    <t>RAMARAJU THIPPA DR.</t>
  </si>
  <si>
    <t>E0226639</t>
  </si>
  <si>
    <t>RAMARAJU THIPPA R          MD</t>
  </si>
  <si>
    <t>233 W 72ND ST</t>
  </si>
  <si>
    <t>WILDFEUER OLGA DR.</t>
  </si>
  <si>
    <t>E0115486</t>
  </si>
  <si>
    <t>WILDFEURER OLGA MD</t>
  </si>
  <si>
    <t>WILDFEURER OLGA</t>
  </si>
  <si>
    <t>55 GREENE AVE STE LLB</t>
  </si>
  <si>
    <t>WINIK JOSEPH DR.</t>
  </si>
  <si>
    <t>E0242566</t>
  </si>
  <si>
    <t>WINIK JOSEPH S             MD</t>
  </si>
  <si>
    <t>WINIK JOSEPH</t>
  </si>
  <si>
    <t>44 W 62ND ST</t>
  </si>
  <si>
    <t>LECHICH ANTHONY</t>
  </si>
  <si>
    <t>E0245917</t>
  </si>
  <si>
    <t>LECHICH ANTHONY J          MD</t>
  </si>
  <si>
    <t>GLICK ARTHUR MR.</t>
  </si>
  <si>
    <t>E0042700</t>
  </si>
  <si>
    <t>GLICK ARTHUR A</t>
  </si>
  <si>
    <t>All Other:: Mental Health:: Practitioner - Primary Care Provider (PCP)</t>
  </si>
  <si>
    <t>4422 3RD AVE</t>
  </si>
  <si>
    <t>HOFMANN JOANNA</t>
  </si>
  <si>
    <t>E0343633</t>
  </si>
  <si>
    <t>HOFMANN JOANNA FRANCES</t>
  </si>
  <si>
    <t>8814 FOSTER AVE FL 2</t>
  </si>
  <si>
    <t>BAKER MARGARET MS.</t>
  </si>
  <si>
    <t>E0074900</t>
  </si>
  <si>
    <t>BAKER MARGARET NP</t>
  </si>
  <si>
    <t>17 GLEN POND DR STE 3</t>
  </si>
  <si>
    <t>RED HOOK</t>
  </si>
  <si>
    <t>DOOLEY FRANCIS MR.</t>
  </si>
  <si>
    <t>E0076985</t>
  </si>
  <si>
    <t>DOOLEY FRANCIS PATRICK</t>
  </si>
  <si>
    <t>2604 3RD AVE</t>
  </si>
  <si>
    <t>GONZALEZ ORLANDO DR.</t>
  </si>
  <si>
    <t>E0188844</t>
  </si>
  <si>
    <t>GONZALEZ ORLANDO JR MD</t>
  </si>
  <si>
    <t>78 TODT HILL RD STE 107</t>
  </si>
  <si>
    <t>DEUTSCH VICKI-JO</t>
  </si>
  <si>
    <t>E0213059</t>
  </si>
  <si>
    <t>DEUTSCH VICKI-JO           MD</t>
  </si>
  <si>
    <t>10 NATHAN D PERLMAN PL</t>
  </si>
  <si>
    <t>FATICA NUNZIA</t>
  </si>
  <si>
    <t>E0214120</t>
  </si>
  <si>
    <t>FATICA NUNZIA              MD</t>
  </si>
  <si>
    <t>THE NEW YORK HOSP</t>
  </si>
  <si>
    <t>MANSUETO JOSE DR.</t>
  </si>
  <si>
    <t>E0276170</t>
  </si>
  <si>
    <t>MANSUETO JOSE L            MD</t>
  </si>
  <si>
    <t>329 MYRTLE AVE</t>
  </si>
  <si>
    <t>SCHOFIELD BARBARA</t>
  </si>
  <si>
    <t>E0121442</t>
  </si>
  <si>
    <t>SCHOFIELD BARBARA S MD</t>
  </si>
  <si>
    <t>CATH CHAR NGHBHD SVS CRIBBIN ICF</t>
  </si>
  <si>
    <t>E0263540</t>
  </si>
  <si>
    <t>CATH CHAR NGHBHD SVCS CRIBBIN ICF</t>
  </si>
  <si>
    <t>CRIBBIN ICF</t>
  </si>
  <si>
    <t>Russell Laudon</t>
  </si>
  <si>
    <t>E0227087</t>
  </si>
  <si>
    <t>LAUDON RUSSELL J           MD</t>
  </si>
  <si>
    <t>LAUDON RUSSELL DR.</t>
  </si>
  <si>
    <t>Nicasio Arana Medical Office P.C.</t>
  </si>
  <si>
    <t>E0092920</t>
  </si>
  <si>
    <t>ARANA NICASIO I MD</t>
  </si>
  <si>
    <t>Nicasio Arana MD</t>
  </si>
  <si>
    <t>(914) 320-9744</t>
  </si>
  <si>
    <t>nanarana611@gmail.com</t>
  </si>
  <si>
    <t>ARANA NICASIO DR.</t>
  </si>
  <si>
    <t>31 LEROY PL</t>
  </si>
  <si>
    <t>Rego Park Health Care</t>
  </si>
  <si>
    <t>E0268246</t>
  </si>
  <si>
    <t>REGO PARK NURSING HOME</t>
  </si>
  <si>
    <t>Ethan Dreifus</t>
  </si>
  <si>
    <t>(718) 592-6400</t>
  </si>
  <si>
    <t>ethan@regoparkhealthcare.com</t>
  </si>
  <si>
    <t>REGO PARK N H LTD</t>
  </si>
  <si>
    <t>111-26 CORONA AVE</t>
  </si>
  <si>
    <t>MEHTA PREETI</t>
  </si>
  <si>
    <t>E0011728</t>
  </si>
  <si>
    <t>MEHTA PREETI MD</t>
  </si>
  <si>
    <t>1000 E GENESEE ST</t>
  </si>
  <si>
    <t>SYRACUSE</t>
  </si>
  <si>
    <t>MENDOZA ELIZABETH</t>
  </si>
  <si>
    <t>E0318280</t>
  </si>
  <si>
    <t>MENDOZA ELIZABETH ALMERO</t>
  </si>
  <si>
    <t>600 ROE AVE</t>
  </si>
  <si>
    <t>ELMIRA</t>
  </si>
  <si>
    <t>Menorah Home &amp; Hospital for the Aged &amp; Infirm d/b/a Menorah Center for Rehabilitation and Nursing Care</t>
  </si>
  <si>
    <t>E0228886</t>
  </si>
  <si>
    <t>MENORAH HOME &amp; HOSP AGED INF</t>
  </si>
  <si>
    <t>MENORAH HOME AND HOSPITAL FOR THE AGED AND INFIRM</t>
  </si>
  <si>
    <t>1516 ORIENTAL BLVD</t>
  </si>
  <si>
    <t>Mental Health Providers of Western Queens, Inc. (Care Coordination)</t>
  </si>
  <si>
    <t>E0078340</t>
  </si>
  <si>
    <t>MENTAL HLTH PROV/W QUEENS  MH</t>
  </si>
  <si>
    <t>John Lavin, LCSW-R</t>
  </si>
  <si>
    <t>All Other:: Case Management / Health Home:: Mental Health:: Substance Abuse</t>
  </si>
  <si>
    <t>MENTAL HLTH PROV OF W QUEENS</t>
  </si>
  <si>
    <t>W QUEENS CTR CL</t>
  </si>
  <si>
    <t>JANG JENNIFER</t>
  </si>
  <si>
    <t>E0329614</t>
  </si>
  <si>
    <t>121A W 20TH ST</t>
  </si>
  <si>
    <t>SHVETS YELENA</t>
  </si>
  <si>
    <t>E0364477</t>
  </si>
  <si>
    <t>159-05 UNION TPKE</t>
  </si>
  <si>
    <t>WELLS BARBARA</t>
  </si>
  <si>
    <t>E0059440</t>
  </si>
  <si>
    <t>WELLS BARBARA M</t>
  </si>
  <si>
    <t>1 WEBSTER AVE STE 202</t>
  </si>
  <si>
    <t>PETKOS JENNIFER MRS.</t>
  </si>
  <si>
    <t>E0342718</t>
  </si>
  <si>
    <t>PETKOS JENNIFER RENEE</t>
  </si>
  <si>
    <t>396 BROADWAY</t>
  </si>
  <si>
    <t>KINGSTON</t>
  </si>
  <si>
    <t>FIORELLO JANINE</t>
  </si>
  <si>
    <t>E0014622</t>
  </si>
  <si>
    <t>REICHERT JAMES MR.</t>
  </si>
  <si>
    <t>E0292244</t>
  </si>
  <si>
    <t>REICHERT JAMES MICHAEL</t>
  </si>
  <si>
    <t>REICHERT JAMES MICHAEL RPA</t>
  </si>
  <si>
    <t>KAPLAN DAVID</t>
  </si>
  <si>
    <t>E0360547</t>
  </si>
  <si>
    <t>AGGARWAL OM DR.</t>
  </si>
  <si>
    <t>E0229816</t>
  </si>
  <si>
    <t>AGGARWAL OM PARKASH        MD</t>
  </si>
  <si>
    <t>5612 220TH ST</t>
  </si>
  <si>
    <t>ADDASI TALAT DR.</t>
  </si>
  <si>
    <t>E0229393</t>
  </si>
  <si>
    <t>ADDASI TALAT F             MD</t>
  </si>
  <si>
    <t>14243 BOOTH MEMORIAL AVE</t>
  </si>
  <si>
    <t>CASTRO ARMANDO DR.</t>
  </si>
  <si>
    <t>E0055857</t>
  </si>
  <si>
    <t>CASTRO ARMANDO E</t>
  </si>
  <si>
    <t>65 CROMWELL AVE</t>
  </si>
  <si>
    <t>CHAI EDWARD MR.</t>
  </si>
  <si>
    <t>E0043426</t>
  </si>
  <si>
    <t>CHAI EDWARD NIENFEI MD</t>
  </si>
  <si>
    <t>1000 10TH AVE</t>
  </si>
  <si>
    <t>COHEN ELLEN DR.</t>
  </si>
  <si>
    <t>E0207386</t>
  </si>
  <si>
    <t>COHEN ELLEN                MD</t>
  </si>
  <si>
    <t>201 LYONS AVE</t>
  </si>
  <si>
    <t>NEWARK</t>
  </si>
  <si>
    <t>NJ</t>
  </si>
  <si>
    <t>GASPERINO JAMES DR.</t>
  </si>
  <si>
    <t>E0020778</t>
  </si>
  <si>
    <t>GASPERINO JAMES MD</t>
  </si>
  <si>
    <t>1825 EASTCHESTER RD</t>
  </si>
  <si>
    <t>GOLANT ALEXANDER DR.</t>
  </si>
  <si>
    <t>E0295934</t>
  </si>
  <si>
    <t>ALEXANDER GOLANT MD</t>
  </si>
  <si>
    <t>GOLANT ALEXANDER MD</t>
  </si>
  <si>
    <t>16303 HORACE HARDING EXPY FL 2</t>
  </si>
  <si>
    <t>GOLDBARG SETH</t>
  </si>
  <si>
    <t>E0020184</t>
  </si>
  <si>
    <t>GOLDBARG SETH MD</t>
  </si>
  <si>
    <t>2715 30TH AVE</t>
  </si>
  <si>
    <t>GUSTAFSON GREGORY</t>
  </si>
  <si>
    <t>E0216999</t>
  </si>
  <si>
    <t>GUSTAFSON GREGORY M        MD</t>
  </si>
  <si>
    <t>56-45 MAIN ST WA-200</t>
  </si>
  <si>
    <t>HOCHMAN MELVIN</t>
  </si>
  <si>
    <t>E0267676</t>
  </si>
  <si>
    <t>HOCHMAN MELVIN C           MD</t>
  </si>
  <si>
    <t>HU JASON DR.</t>
  </si>
  <si>
    <t>E0326729</t>
  </si>
  <si>
    <t>HU JASON</t>
  </si>
  <si>
    <t>HUANG LOLI DR.</t>
  </si>
  <si>
    <t>E0020419</t>
  </si>
  <si>
    <t>HUANG LOLI MD</t>
  </si>
  <si>
    <t>550 1ST AVE</t>
  </si>
  <si>
    <t>KAMATH SUMA</t>
  </si>
  <si>
    <t>E0323321</t>
  </si>
  <si>
    <t>KAMATH SUMA MD</t>
  </si>
  <si>
    <t>KETTANI HIND</t>
  </si>
  <si>
    <t>E0313102</t>
  </si>
  <si>
    <t>KETTANI HIND MD</t>
  </si>
  <si>
    <t>5916 174TH STRET</t>
  </si>
  <si>
    <t>LAZARESCU ROXANA ELENA</t>
  </si>
  <si>
    <t>E0323393</t>
  </si>
  <si>
    <t>LAZARESCU ROXANA</t>
  </si>
  <si>
    <t>5645 MAIN ST STE 637</t>
  </si>
  <si>
    <t>LEVI URIEL DR.</t>
  </si>
  <si>
    <t>E0170279</t>
  </si>
  <si>
    <t>LEVI URIEL N DPM</t>
  </si>
  <si>
    <t>415 OCEAN VIEW AVE</t>
  </si>
  <si>
    <t>SAVINO PERRY MR.</t>
  </si>
  <si>
    <t>E0039771</t>
  </si>
  <si>
    <t>SAVINO PERRY</t>
  </si>
  <si>
    <t>SCHEPKER ELIZABETH DR.</t>
  </si>
  <si>
    <t>E0352129</t>
  </si>
  <si>
    <t>SCHEPKER ELIZABETH ERIN</t>
  </si>
  <si>
    <t>LIPPMAN MARIE</t>
  </si>
  <si>
    <t>E0153290</t>
  </si>
  <si>
    <t>LIPPMAN MARIE ABARIENTOS MD</t>
  </si>
  <si>
    <t>LIU WELLINGNTON DR.</t>
  </si>
  <si>
    <t>E0255036</t>
  </si>
  <si>
    <t>WELLINGTON LIU Y MD</t>
  </si>
  <si>
    <t>235 E 22ND ST</t>
  </si>
  <si>
    <t>Gavriel Fuzaylov</t>
  </si>
  <si>
    <t>E0141339</t>
  </si>
  <si>
    <t>REGO PARK MEDICAL ASSOCIATE PC</t>
  </si>
  <si>
    <t>FUZAYLOV GAVRIEL DR.</t>
  </si>
  <si>
    <t>FUZAYLOV GAVRIEL</t>
  </si>
  <si>
    <t>THE METHODIST HSP</t>
  </si>
  <si>
    <t>Jagat Rawal</t>
  </si>
  <si>
    <t>E0086888</t>
  </si>
  <si>
    <t>RAWAL JAGAT M MD</t>
  </si>
  <si>
    <t>RAWAL JAGAT DR.</t>
  </si>
  <si>
    <t>Mikhail Pinkhasov</t>
  </si>
  <si>
    <t>E0011235</t>
  </si>
  <si>
    <t>PINKHASOV MIKHAIL B MD</t>
  </si>
  <si>
    <t>PINKHASOV MIKHAIL DR.</t>
  </si>
  <si>
    <t>Boris Yuabov</t>
  </si>
  <si>
    <t>E0095094</t>
  </si>
  <si>
    <t>YUABOV BORIS  DPM</t>
  </si>
  <si>
    <t>YUABOV BORIS DR.</t>
  </si>
  <si>
    <t>98-10 64TH AVE APT GB</t>
  </si>
  <si>
    <t>Charles Kleinberg</t>
  </si>
  <si>
    <t>CHARLES C.KLEINBERG</t>
  </si>
  <si>
    <t>109-33 71ST ROAD, APT 1F</t>
  </si>
  <si>
    <t>Invalid Non Medicaid Provider Type</t>
  </si>
  <si>
    <t>Edward Gluck</t>
  </si>
  <si>
    <t>EDWARD A. GLUCK MD PC</t>
  </si>
  <si>
    <t>112-03 QUEENS BLVD., SUITE 206</t>
  </si>
  <si>
    <t>Ari Edelstein</t>
  </si>
  <si>
    <t>E0268460</t>
  </si>
  <si>
    <t>EDELSTEIN ARI              MD</t>
  </si>
  <si>
    <t>EDELSTEIN ARI DR.</t>
  </si>
  <si>
    <t>STE 322</t>
  </si>
  <si>
    <t>KEW GARDENS</t>
  </si>
  <si>
    <t>YADOO MOSHE DR.</t>
  </si>
  <si>
    <t>E0155034</t>
  </si>
  <si>
    <t>YADOO MOSHE MD</t>
  </si>
  <si>
    <t>ARTINIAN REBECCA</t>
  </si>
  <si>
    <t>1713 S CHURCH ST</t>
  </si>
  <si>
    <t>BURLINGTON</t>
  </si>
  <si>
    <t>NC</t>
  </si>
  <si>
    <t>ABULARRAGE JOSEPH</t>
  </si>
  <si>
    <t>E0248659</t>
  </si>
  <si>
    <t>ABULARRAGE JOSEPH J        MD</t>
  </si>
  <si>
    <t>BOOTH MEMORIAL M/C</t>
  </si>
  <si>
    <t>BRANDLER MICHAEL</t>
  </si>
  <si>
    <t>E0042344</t>
  </si>
  <si>
    <t>BRANDLER MICHAEL MD</t>
  </si>
  <si>
    <t>NYHMCQ NEONATOLOGY</t>
  </si>
  <si>
    <t>JOHNKUTTY SUJA MRS.</t>
  </si>
  <si>
    <t>E0050367</t>
  </si>
  <si>
    <t>JOHNKUTTY SUJA MD</t>
  </si>
  <si>
    <t>33 WALT WHITMAN ROAD</t>
  </si>
  <si>
    <t>HUNTINGTON STA</t>
  </si>
  <si>
    <t>KARBOWITZ STEPHEN DR.</t>
  </si>
  <si>
    <t>E0275789</t>
  </si>
  <si>
    <t>KARBOWITZ STEPHEN R        MD</t>
  </si>
  <si>
    <t>BOOTH MEMORIAL HOSP</t>
  </si>
  <si>
    <t>KOENIG ELI DR.</t>
  </si>
  <si>
    <t>E0210754</t>
  </si>
  <si>
    <t>KOENIG ELI                 MD</t>
  </si>
  <si>
    <t>LICH MPA PC PEDS</t>
  </si>
  <si>
    <t>LAVERY ELISE</t>
  </si>
  <si>
    <t>E0286064</t>
  </si>
  <si>
    <t>LAVERY ELISE MARIE MD</t>
  </si>
  <si>
    <t>ROSEN JEFFREY</t>
  </si>
  <si>
    <t>E0104702</t>
  </si>
  <si>
    <t>ROSEN JEFFREY EDWARD MD</t>
  </si>
  <si>
    <t>301 E 17TH ST</t>
  </si>
  <si>
    <t>SALDINGER PIERRE</t>
  </si>
  <si>
    <t>E0086030</t>
  </si>
  <si>
    <t>SALDINGER PIERRE FRANK MD</t>
  </si>
  <si>
    <t>DANBURY OFC PHY SVC</t>
  </si>
  <si>
    <t>DANBURY</t>
  </si>
  <si>
    <t>SHARRET RACHEL DR.</t>
  </si>
  <si>
    <t>E0383448</t>
  </si>
  <si>
    <t>SHARRET RACHEL</t>
  </si>
  <si>
    <t>SHARRET RACHEL EVE</t>
  </si>
  <si>
    <t>SRINIVASAN PINCHI</t>
  </si>
  <si>
    <t>E0047463</t>
  </si>
  <si>
    <t>SRINIVASAN PINCHI SUNDARAM MD</t>
  </si>
  <si>
    <t>TSAI TONY</t>
  </si>
  <si>
    <t>E0089327</t>
  </si>
  <si>
    <t>TSAI TONY MD</t>
  </si>
  <si>
    <t>NYHMCQ HSP #208</t>
  </si>
  <si>
    <t>FANO MICHAEL</t>
  </si>
  <si>
    <t>E0079234</t>
  </si>
  <si>
    <t>10504 SUTPHIN BLVD</t>
  </si>
  <si>
    <t>YU MAY DR.</t>
  </si>
  <si>
    <t>E0344654</t>
  </si>
  <si>
    <t>YU MAY</t>
  </si>
  <si>
    <t>128 MOTT ST STE 501</t>
  </si>
  <si>
    <t>ZELENGER SHANDOR</t>
  </si>
  <si>
    <t>E0099007</t>
  </si>
  <si>
    <t>ZELENGER SAHNDOR</t>
  </si>
  <si>
    <t>225 BROADWAY STE 1015</t>
  </si>
  <si>
    <t>ZELLAN JONATHAN</t>
  </si>
  <si>
    <t>E0041050</t>
  </si>
  <si>
    <t>ZELLAN JONATHAN D MD</t>
  </si>
  <si>
    <t>STE 212</t>
  </si>
  <si>
    <t>ZELLER BARBARA DR.</t>
  </si>
  <si>
    <t>E0275995</t>
  </si>
  <si>
    <t>ZELLER BARBARA C MD</t>
  </si>
  <si>
    <t>ZELLER BARBARA CAROL</t>
  </si>
  <si>
    <t>1401 DR MARTIN L KING JR BLVD</t>
  </si>
  <si>
    <t>APOLAYA PAMELA</t>
  </si>
  <si>
    <t>E0298334</t>
  </si>
  <si>
    <t>APOLAYA PAMELA EVELYN</t>
  </si>
  <si>
    <t>LODHA AJAY DR.</t>
  </si>
  <si>
    <t>E0155582</t>
  </si>
  <si>
    <t>LODHA AJAY K MD</t>
  </si>
  <si>
    <t>LODHA AJAY KUMAR</t>
  </si>
  <si>
    <t>2510 30TH AVE</t>
  </si>
  <si>
    <t>LODHA SANJAY MR.</t>
  </si>
  <si>
    <t>E0075960</t>
  </si>
  <si>
    <t>LODHA SANJAY MD</t>
  </si>
  <si>
    <t>LODHA SANJAY</t>
  </si>
  <si>
    <t>1760 3RD AVE</t>
  </si>
  <si>
    <t>Long Island Care Center</t>
  </si>
  <si>
    <t>E0171825</t>
  </si>
  <si>
    <t>LONG ISLAND CARE CENTER INC</t>
  </si>
  <si>
    <t>14461 38TH AVE</t>
  </si>
  <si>
    <t>Long Island Consultation Center</t>
  </si>
  <si>
    <t>E0274018</t>
  </si>
  <si>
    <t>LONG ISLAND CONSULTATION CTR</t>
  </si>
  <si>
    <t>LONG ISLAND CONSULTATION CENTER, INC.</t>
  </si>
  <si>
    <t>97-29 64TH RD</t>
  </si>
  <si>
    <t>LOWERY APRIL</t>
  </si>
  <si>
    <t>E0285679</t>
  </si>
  <si>
    <t>LOWERY APRIL ALEXIS RPA</t>
  </si>
  <si>
    <t>364 JUNIUS ST</t>
  </si>
  <si>
    <t>LUTAS ELIZABETH DR.</t>
  </si>
  <si>
    <t>E0181569</t>
  </si>
  <si>
    <t>LUTAS ELIZABETH MARY  MD</t>
  </si>
  <si>
    <t>LYNCH GINA</t>
  </si>
  <si>
    <t>E0154057</t>
  </si>
  <si>
    <t>LYNCH GINA ADRIANA MD</t>
  </si>
  <si>
    <t>LYNCH GINA ADRIANA</t>
  </si>
  <si>
    <t>TOMPKINS GENERAL HSP</t>
  </si>
  <si>
    <t>ITHACA</t>
  </si>
  <si>
    <t>Madison York Rego Park, LLC</t>
  </si>
  <si>
    <t>Assisted Living</t>
  </si>
  <si>
    <t>MADISON YORK REGO PARK LLC DBA MADISON YORK ALP</t>
  </si>
  <si>
    <t>61-80 WOODHAVEN BLVD.</t>
  </si>
  <si>
    <t>TAVDY DAVID</t>
  </si>
  <si>
    <t>E0052946</t>
  </si>
  <si>
    <t>TAVDY DAVID MD</t>
  </si>
  <si>
    <t>10721 QUEENS BLVD</t>
  </si>
  <si>
    <t>TEICH MARVIN</t>
  </si>
  <si>
    <t>E0278099</t>
  </si>
  <si>
    <t>TEICH MARVIN L MD</t>
  </si>
  <si>
    <t>665 THWAITES PL</t>
  </si>
  <si>
    <t>TERENCE CARDINAL COOKE HCC</t>
  </si>
  <si>
    <t>E0263665</t>
  </si>
  <si>
    <t>TERENCE CARDINAL COOKE HEALTH CARE CENTER</t>
  </si>
  <si>
    <t>Terence Cardinal Cooke Health Care Center</t>
  </si>
  <si>
    <t>The Abraham &amp; Henrietta Malamut Community Health Center - Adult Day Care Program</t>
  </si>
  <si>
    <t>E0229864</t>
  </si>
  <si>
    <t>PARKER JEWISH INSTITUTE HLTH</t>
  </si>
  <si>
    <t>Stuart Almer</t>
  </si>
  <si>
    <t>(718) 289-2352</t>
  </si>
  <si>
    <t>salmer@parkerinstitute.org</t>
  </si>
  <si>
    <t>CLOSED 07/01/02</t>
  </si>
  <si>
    <t>The Abraham &amp; Henrietta Malamut Community Health Center - Adult Day Care Program of Parker Jewish In</t>
  </si>
  <si>
    <t>E0208546</t>
  </si>
  <si>
    <t>PARKER JEWISH GERI INST LTHHC</t>
  </si>
  <si>
    <t>PARKER JEWISH INST/H C &amp; R CHHA</t>
  </si>
  <si>
    <t>The Silvercrest Center for Nursing and Rehabilitation</t>
  </si>
  <si>
    <t>E0178342</t>
  </si>
  <si>
    <t>SILVERCREST RHCF</t>
  </si>
  <si>
    <t>Michael Tretola</t>
  </si>
  <si>
    <t>(718) 480-4030</t>
  </si>
  <si>
    <t>mtretola@nyp.org</t>
  </si>
  <si>
    <t>THE SILVERCREST CENTER FOR NURSING AND REHABILITATION</t>
  </si>
  <si>
    <t>THENOR-LOUIS WESNER</t>
  </si>
  <si>
    <t>E0119884</t>
  </si>
  <si>
    <t>THENOR-LOUIS WESNER MD</t>
  </si>
  <si>
    <t>13175 234TH ST</t>
  </si>
  <si>
    <t>ROSEDALE</t>
  </si>
  <si>
    <t>TOTAL CARE RX INC</t>
  </si>
  <si>
    <t>E0304038</t>
  </si>
  <si>
    <t>Robert Hopkins</t>
  </si>
  <si>
    <t>(718) 762-7111</t>
  </si>
  <si>
    <t>rhopkins@totalcarerx.com</t>
  </si>
  <si>
    <t>5737 MAIN ST</t>
  </si>
  <si>
    <t>TSAI JOSEPHINE DR.</t>
  </si>
  <si>
    <t>E0383556</t>
  </si>
  <si>
    <t>TSAI JOSEPHINE</t>
  </si>
  <si>
    <t>TSAI TIEN-TSAI</t>
  </si>
  <si>
    <t>E0302059</t>
  </si>
  <si>
    <t>170 WILLIAM ST</t>
  </si>
  <si>
    <t>TUMMINELLO CALOGERO DR.</t>
  </si>
  <si>
    <t>E0166424</t>
  </si>
  <si>
    <t>TUMMINELLO CALOGERO C MD</t>
  </si>
  <si>
    <t>TUMMINELLO CALOGERO C</t>
  </si>
  <si>
    <t>374 STOCKHOLM ST</t>
  </si>
  <si>
    <t>Union plaza Care Center</t>
  </si>
  <si>
    <t>E0129312</t>
  </si>
  <si>
    <t>UNION PLAZA CARE CENTER</t>
  </si>
  <si>
    <t>Dr. Adinah Pelman</t>
  </si>
  <si>
    <t>(718) 670-0721</t>
  </si>
  <si>
    <t>unionplazaboss@aol.com</t>
  </si>
  <si>
    <t>UNION PLAZA NURSING HOME INC</t>
  </si>
  <si>
    <t>33-23 UNION ST</t>
  </si>
  <si>
    <t>UNIVERSAL HEALTH CARE</t>
  </si>
  <si>
    <t>10004 DITMARS BLVD</t>
  </si>
  <si>
    <t>Center for Nursing and Rehabilitation</t>
  </si>
  <si>
    <t>E0267808</t>
  </si>
  <si>
    <t>CENTER FOR NURSING &amp; REHAB IN</t>
  </si>
  <si>
    <t>CENTER FOR NURSING AND REHABILITATION, INC.</t>
  </si>
  <si>
    <t>520 PROSPECT PLACE</t>
  </si>
  <si>
    <t>CenterLight Certified Home Health Agency</t>
  </si>
  <si>
    <t>E0372510</t>
  </si>
  <si>
    <t>CENTERLIGHT CERTIFIED HOME HEALTH A</t>
  </si>
  <si>
    <t>CENTERLIGHT CERTIFIED HOME HEALTH AGENCY</t>
  </si>
  <si>
    <t>596 PROSPECT PLACE</t>
  </si>
  <si>
    <t>Lexington Center for Mental Health Services, Inc</t>
  </si>
  <si>
    <t>E0263421</t>
  </si>
  <si>
    <t>LEXINGTON CTR FOR MH SERVICES</t>
  </si>
  <si>
    <t>Adele Agin, Executive Director</t>
  </si>
  <si>
    <t>aagin@lexny.org</t>
  </si>
  <si>
    <t>Case Management / Health Home:: Mental Health</t>
  </si>
  <si>
    <t>LEXINGTON CENTER FOR MH SERVICE INC.</t>
  </si>
  <si>
    <t>25 02 75TH ST</t>
  </si>
  <si>
    <t>LINARES MARIA</t>
  </si>
  <si>
    <t>PREDMORE LISA</t>
  </si>
  <si>
    <t>E0073441</t>
  </si>
  <si>
    <t>LISA C PREDMORE AU D PC</t>
  </si>
  <si>
    <t>1650 GRAND CONCOURSE FL 9</t>
  </si>
  <si>
    <t>DELSHADFAR HOORBOD DR.</t>
  </si>
  <si>
    <t>E0322277</t>
  </si>
  <si>
    <t>DELSHADFAR HOORBOD</t>
  </si>
  <si>
    <t>6902 AUSTIN ST FL 2</t>
  </si>
  <si>
    <t>ARDILA ALBA</t>
  </si>
  <si>
    <t>E0300550</t>
  </si>
  <si>
    <t>ARDILA ALBA ROCIO</t>
  </si>
  <si>
    <t>ARORA ARUN DR.</t>
  </si>
  <si>
    <t>E0259063</t>
  </si>
  <si>
    <t>ARORA ARUN</t>
  </si>
  <si>
    <t>HILLCREST GEN HOSP</t>
  </si>
  <si>
    <t>ASADOURIAN ARMAND DR.</t>
  </si>
  <si>
    <t>E0204812</t>
  </si>
  <si>
    <t>ASADOURIAN ARMAND V        MD</t>
  </si>
  <si>
    <t>4528 PARSONS BLVD</t>
  </si>
  <si>
    <t>ASENCIO ELISEO</t>
  </si>
  <si>
    <t>E0219010</t>
  </si>
  <si>
    <t>ASENCIO ELISEO MD LLC      MD</t>
  </si>
  <si>
    <t>ST LUKES ROOSEVELT</t>
  </si>
  <si>
    <t>Asthma Coalition of Queens - American Lung Association of the Northeast</t>
  </si>
  <si>
    <t>Claudia  Guglielmo</t>
  </si>
  <si>
    <t>(631) 415-0941</t>
  </si>
  <si>
    <t>cguglielmo@lungne.org</t>
  </si>
  <si>
    <t>700 Veterans Memorial Highway Suite 305</t>
  </si>
  <si>
    <t>Hauppauge</t>
  </si>
  <si>
    <t>AULD CLARA DR.</t>
  </si>
  <si>
    <t>E0021414</t>
  </si>
  <si>
    <t>AULD CLARA STRINGER</t>
  </si>
  <si>
    <t>STRINGER-AULD CLARA DR.</t>
  </si>
  <si>
    <t>150 RIVERSIDE DR</t>
  </si>
  <si>
    <t>AVOLESE SEBASTIAN DR.</t>
  </si>
  <si>
    <t>E0251579</t>
  </si>
  <si>
    <t>AVOLESE SEBASTIAN P        MD</t>
  </si>
  <si>
    <t>Maia D'Uro</t>
  </si>
  <si>
    <t>(718) 670-2530</t>
  </si>
  <si>
    <t>AVOLESE SEBASTIAN P</t>
  </si>
  <si>
    <t>7309 MYRTLE AVE</t>
  </si>
  <si>
    <t>GLENDALE</t>
  </si>
  <si>
    <t>AZIZOLLAHOFF JOAN MS.</t>
  </si>
  <si>
    <t>E0015534</t>
  </si>
  <si>
    <t>AZIZOLLAHOFF JOAN</t>
  </si>
  <si>
    <t>50 E 42ND ST</t>
  </si>
  <si>
    <t>Sheldon Hersh</t>
  </si>
  <si>
    <t>E0225289</t>
  </si>
  <si>
    <t>HERSH SHELDON PAUL         MD</t>
  </si>
  <si>
    <t>HERSH SHELDON</t>
  </si>
  <si>
    <t>HERSH SHELDON PAUL   MD</t>
  </si>
  <si>
    <t>STE 1B</t>
  </si>
  <si>
    <t>Sandip Pranlal Sheth</t>
  </si>
  <si>
    <t>E0138203</t>
  </si>
  <si>
    <t>SHETH SANDIP PRANLAL MD</t>
  </si>
  <si>
    <t>SHETH SANDIP DR.</t>
  </si>
  <si>
    <t>Ma Jesusa Calagos MD</t>
  </si>
  <si>
    <t>E0039521</t>
  </si>
  <si>
    <t>CALAGOS MA JESUSA MD</t>
  </si>
  <si>
    <t>(718) 570-4650</t>
  </si>
  <si>
    <t>caringhandsny@gmail.com</t>
  </si>
  <si>
    <t>CALAGOS MA. JESUSA DR.</t>
  </si>
  <si>
    <t>Jose Quiwa</t>
  </si>
  <si>
    <t>E0197689</t>
  </si>
  <si>
    <t>QUIWA JOSE ESCUETA         MD</t>
  </si>
  <si>
    <t>Dr. Jose Quiwa</t>
  </si>
  <si>
    <t>(718) 426-5202</t>
  </si>
  <si>
    <t>drquiwa@gmail.com</t>
  </si>
  <si>
    <t>QUIWA JOSE DR.</t>
  </si>
  <si>
    <t>ST JOHN QUEENS HOSPITAL</t>
  </si>
  <si>
    <t>Barnali Hasan MD</t>
  </si>
  <si>
    <t>E0300222</t>
  </si>
  <si>
    <t>BARNALI HASAN</t>
  </si>
  <si>
    <t>(917) 930-1170</t>
  </si>
  <si>
    <t>barnalihasanmd@gmail.com</t>
  </si>
  <si>
    <t>HASAN BARNALI DR.</t>
  </si>
  <si>
    <t>HASAN BARNALI MD</t>
  </si>
  <si>
    <t>170-09 HILLSIDE AVE</t>
  </si>
  <si>
    <t>CITY MEDICAL OF UPPER EAST SIDE, PLLC</t>
  </si>
  <si>
    <t>Claudia Hinrichsen</t>
  </si>
  <si>
    <t>(212) 913-0828</t>
  </si>
  <si>
    <t>Chinrichsen@citymd.net</t>
  </si>
  <si>
    <t>Outpatient/Emergency Room</t>
  </si>
  <si>
    <t>336 E 86TH ST</t>
  </si>
  <si>
    <t>CL Healthcare Inc</t>
  </si>
  <si>
    <t>Family/Caregiver Supports &amp; Services</t>
  </si>
  <si>
    <t>612 Allerton Avenue</t>
  </si>
  <si>
    <t>MUKHTARZAD AMAN M MD</t>
  </si>
  <si>
    <t>E0148058</t>
  </si>
  <si>
    <t>1413 30TH DR</t>
  </si>
  <si>
    <t>MVP Housing Development Fund Company Inc.</t>
  </si>
  <si>
    <t>2260 Barker Avenue</t>
  </si>
  <si>
    <t>NAHAR JEBUN</t>
  </si>
  <si>
    <t>E0002367</t>
  </si>
  <si>
    <t>NAHAR JEBUN MD</t>
  </si>
  <si>
    <t>TIAN WAI YEE</t>
  </si>
  <si>
    <t>E0010731</t>
  </si>
  <si>
    <t>TSE WAIYEE</t>
  </si>
  <si>
    <t>140-15B SANFORD BLVD</t>
  </si>
  <si>
    <t>WONG MICHELE</t>
  </si>
  <si>
    <t>E0293935</t>
  </si>
  <si>
    <t>CALABRIA DIEGO DR.</t>
  </si>
  <si>
    <t>E0371688</t>
  </si>
  <si>
    <t>CALABRIA DIEGO GENNARO</t>
  </si>
  <si>
    <t>ZHELEZNYAK-BRONSTEIN TATIANA</t>
  </si>
  <si>
    <t>E0108838</t>
  </si>
  <si>
    <t>ZHELEZNYAK-BRONSTEIN TATIANA A</t>
  </si>
  <si>
    <t>1714 BATH AVE</t>
  </si>
  <si>
    <t>GONDAL NASIR DR.</t>
  </si>
  <si>
    <t>E0140165</t>
  </si>
  <si>
    <t>GONDAL NASIR MAHMOOD MD</t>
  </si>
  <si>
    <t>11247 QUEENS BLVD SUITES 200/208</t>
  </si>
  <si>
    <t>CHOY LAWRENCE</t>
  </si>
  <si>
    <t>E0209445</t>
  </si>
  <si>
    <t>CHOY LAWRENCE T            MD</t>
  </si>
  <si>
    <t>14220 FRANKLIN AVE</t>
  </si>
  <si>
    <t>LIFE'S WORC</t>
  </si>
  <si>
    <t>Karen Hession</t>
  </si>
  <si>
    <t>(516) 741-9000</t>
  </si>
  <si>
    <t>khession@lifesworc.org</t>
  </si>
  <si>
    <t>OPWDD</t>
  </si>
  <si>
    <t>10812 227TH ST</t>
  </si>
  <si>
    <t>21939 91ST RD</t>
  </si>
  <si>
    <t>22944 129TH AVE</t>
  </si>
  <si>
    <t>LAURELTON</t>
  </si>
  <si>
    <t>13136 SPRINGFIELD BLVD</t>
  </si>
  <si>
    <t>SPRINGFIELD GARDENS</t>
  </si>
  <si>
    <t>179-49 N. CONDUIT AVE</t>
  </si>
  <si>
    <t>179-45 N. CONDUIT AVE</t>
  </si>
  <si>
    <t>SPRINFIELD GARDENS</t>
  </si>
  <si>
    <t>7417 MYRTLE AVE</t>
  </si>
  <si>
    <t>25140 GASKELL RD</t>
  </si>
  <si>
    <t>1835 CORPORAL KENNEDY ST</t>
  </si>
  <si>
    <t>17506 LINDEN BLVD</t>
  </si>
  <si>
    <t>3503 CLEARVIEW EXPY</t>
  </si>
  <si>
    <t>191 BETHPAGE SWEET HOLLOW RD</t>
  </si>
  <si>
    <t>OLD BETHPAGE</t>
  </si>
  <si>
    <t>14724 EDGEWOOD ST</t>
  </si>
  <si>
    <t>1501 FRANKLIN AVE</t>
  </si>
  <si>
    <t>1501 FRANKLILN AVE</t>
  </si>
  <si>
    <t>8051 CYPRESS AVE</t>
  </si>
  <si>
    <t>LORBER DANIEL</t>
  </si>
  <si>
    <t>E0275094</t>
  </si>
  <si>
    <t>LORBER DANIEL L            MD</t>
  </si>
  <si>
    <t>5945 161ST ST</t>
  </si>
  <si>
    <t>MA SIU-LING DR.</t>
  </si>
  <si>
    <t>E0326759</t>
  </si>
  <si>
    <t>MA SIU-LING</t>
  </si>
  <si>
    <t>MEROLA STEPHEN</t>
  </si>
  <si>
    <t>E0085788</t>
  </si>
  <si>
    <t>MEROLA STEPHEN MD</t>
  </si>
  <si>
    <t>METROPOLITAN STE 309</t>
  </si>
  <si>
    <t>YUEN HAK DR.</t>
  </si>
  <si>
    <t>E0127752</t>
  </si>
  <si>
    <t>YUEN HAK KIN</t>
  </si>
  <si>
    <t>3640 MAIN ST STE 501</t>
  </si>
  <si>
    <t>YOUNESI PEYMAN DR.</t>
  </si>
  <si>
    <t>E0314791</t>
  </si>
  <si>
    <t>PEYMAN E YOUNESI MD</t>
  </si>
  <si>
    <t>YOUNESI  PEYMAN ELI MD</t>
  </si>
  <si>
    <t>56-45 MAIN ST # 637</t>
  </si>
  <si>
    <t>ZHENG DIANA</t>
  </si>
  <si>
    <t>E0019041</t>
  </si>
  <si>
    <t>ZHENG DAN MD</t>
  </si>
  <si>
    <t>ZHENG DIANA DAN</t>
  </si>
  <si>
    <t>170 W 12TH ST</t>
  </si>
  <si>
    <t>ADELSKY MARGARITA</t>
  </si>
  <si>
    <t>E0314883</t>
  </si>
  <si>
    <t>ADELSKY MARGARITA BOUGIOUKAS</t>
  </si>
  <si>
    <t>250 BEACH 17TH ST</t>
  </si>
  <si>
    <t>AGRAWAL JUGAL</t>
  </si>
  <si>
    <t>E0276272</t>
  </si>
  <si>
    <t>AGRAWAL JUGAL K            MD</t>
  </si>
  <si>
    <t>FLUSHING HOSP MED</t>
  </si>
  <si>
    <t>CHEN JIMMY</t>
  </si>
  <si>
    <t>E0116097</t>
  </si>
  <si>
    <t>CHEN JIMMY MD</t>
  </si>
  <si>
    <t>FRANCOIS PIERRE DR.</t>
  </si>
  <si>
    <t>E0107364</t>
  </si>
  <si>
    <t>FRANCOIS PIERRE L MD</t>
  </si>
  <si>
    <t>FRANCOIS PIERRE LESLY MD</t>
  </si>
  <si>
    <t>585 SCHENECTADY AVE</t>
  </si>
  <si>
    <t>IORDACHE MIHAI DR.</t>
  </si>
  <si>
    <t>E0034295</t>
  </si>
  <si>
    <t>IORDACHE MIHAI M</t>
  </si>
  <si>
    <t>IORDACHE MIHAI MARCEL</t>
  </si>
  <si>
    <t>285 SCHERMERHORN ST</t>
  </si>
  <si>
    <t>Highland Care Center</t>
  </si>
  <si>
    <t>E0189003</t>
  </si>
  <si>
    <t>HIGHLAND CARE CENTER INC SNF</t>
  </si>
  <si>
    <t>HIGHLAND CARE CENTER, INC</t>
  </si>
  <si>
    <t>HIGHLAND CARE CENTER</t>
  </si>
  <si>
    <t>91-31 175TH ST</t>
  </si>
  <si>
    <t>HILL KERAN MS.</t>
  </si>
  <si>
    <t>E0301591</t>
  </si>
  <si>
    <t>HILL KERAN</t>
  </si>
  <si>
    <t>HILL KERAN SEVENISE</t>
  </si>
  <si>
    <t>RUBE GERALD DR.</t>
  </si>
  <si>
    <t>E0251861</t>
  </si>
  <si>
    <t>RUBE GERALD S              MD</t>
  </si>
  <si>
    <t>RUBE GERALD S</t>
  </si>
  <si>
    <t>1458 55TH ST</t>
  </si>
  <si>
    <t>RUBIN DAVID DR.</t>
  </si>
  <si>
    <t>E0189025</t>
  </si>
  <si>
    <t>RUBIN DAVID S MD</t>
  </si>
  <si>
    <t>BALEK MARK DR.</t>
  </si>
  <si>
    <t>E0309047</t>
  </si>
  <si>
    <t>BALEK MARK MD</t>
  </si>
  <si>
    <t>BALFOUR JENNIFER DR.</t>
  </si>
  <si>
    <t>E0305992</t>
  </si>
  <si>
    <t>BALFOUR JENNIFER</t>
  </si>
  <si>
    <t>999 BLAKE AVE</t>
  </si>
  <si>
    <t>BARRA PETER</t>
  </si>
  <si>
    <t>E0276225</t>
  </si>
  <si>
    <t>BARRA PETER R              MD</t>
  </si>
  <si>
    <t>BARRA PETER R</t>
  </si>
  <si>
    <t>NY FLUSHING HSP</t>
  </si>
  <si>
    <t>BASAVARAJU NERLIGE MR.</t>
  </si>
  <si>
    <t>E0077122</t>
  </si>
  <si>
    <t>BASAVARAJU NERLIGE G</t>
  </si>
  <si>
    <t>BATOON SHERWIN</t>
  </si>
  <si>
    <t>E0096071</t>
  </si>
  <si>
    <t>BATOON SHERWIN BUMANGLAG MD</t>
  </si>
  <si>
    <t>FLUSHING HOSP</t>
  </si>
  <si>
    <t>BATTU VASANTHA DR.</t>
  </si>
  <si>
    <t>E0130240</t>
  </si>
  <si>
    <t>BATTU VASANTHA KUMARI</t>
  </si>
  <si>
    <t>600 MCCLELLAN ST</t>
  </si>
  <si>
    <t>BENOIT MARCEL DR.</t>
  </si>
  <si>
    <t>E0141747</t>
  </si>
  <si>
    <t>BENOIT MARCEL M MD</t>
  </si>
  <si>
    <t>1681 FLATBUSH AVE</t>
  </si>
  <si>
    <t>BERNARD JAMES DR.</t>
  </si>
  <si>
    <t>E0097539</t>
  </si>
  <si>
    <t>BERNARD JAMES</t>
  </si>
  <si>
    <t>ALIKAJ NANO EVIA DR.</t>
  </si>
  <si>
    <t>E0023022</t>
  </si>
  <si>
    <t>ALIKAJ NANO EVIA MD</t>
  </si>
  <si>
    <t>1400 PELHAM PKWY S</t>
  </si>
  <si>
    <t>MCLEOD KAREN</t>
  </si>
  <si>
    <t>E0347009</t>
  </si>
  <si>
    <t>MCLEOD KAREN ANTONNETTE</t>
  </si>
  <si>
    <t>205 ROCKAWAY PKWY</t>
  </si>
  <si>
    <t>SHAO XIYUN DR.</t>
  </si>
  <si>
    <t>E0347012</t>
  </si>
  <si>
    <t>SHAO XIYUN</t>
  </si>
  <si>
    <t>13665 37TH AVE</t>
  </si>
  <si>
    <t>SINGER ANDREW</t>
  </si>
  <si>
    <t>E0113664</t>
  </si>
  <si>
    <t>SINGER ANDREW J MD</t>
  </si>
  <si>
    <t>Adele Agin</t>
  </si>
  <si>
    <t>26901 76TH AVE</t>
  </si>
  <si>
    <t>NYC DEPARTMENT OF HEALTH AND MENTAL HYGIENE</t>
  </si>
  <si>
    <t>E0157286</t>
  </si>
  <si>
    <t>NYC DEPT MH EARLY INTERVENTIO</t>
  </si>
  <si>
    <t>Rosemary Martinez</t>
  </si>
  <si>
    <t>(347) 396-4010</t>
  </si>
  <si>
    <t>Rmartinez2@health.nyc.gov</t>
  </si>
  <si>
    <t>42-09 28TH ST FL 18</t>
  </si>
  <si>
    <t>NYC DEPARTMENT OF HEALTH AND MENTAL</t>
  </si>
  <si>
    <t>E0157278</t>
  </si>
  <si>
    <t>NYC DEPT OF MH EARLY INTERVEN</t>
  </si>
  <si>
    <t>E0299574</t>
  </si>
  <si>
    <t>FLUSHING MANOR LTHHC</t>
  </si>
  <si>
    <t>3625 PARSONS BLVD STE LL-1</t>
  </si>
  <si>
    <t>CRT SURGICAL ASSOCIATES, PC</t>
  </si>
  <si>
    <t>E0007842</t>
  </si>
  <si>
    <t>CRT SURGICAL ASSOC</t>
  </si>
  <si>
    <t>C R T SURGICAL ASSOCIATES PC</t>
  </si>
  <si>
    <t>18904 HILLSIDE AVE</t>
  </si>
  <si>
    <t>ST. MARY'S HOSPITAL FOR CHILDREN</t>
  </si>
  <si>
    <t>E0309841</t>
  </si>
  <si>
    <t>ST MARYS HOSPITAL FOR CHILDREN</t>
  </si>
  <si>
    <t>60 CHARLES LINDBERGH BLVD</t>
  </si>
  <si>
    <t>UNIONDALE</t>
  </si>
  <si>
    <t>ABEL-BEY GEDDIS DR.</t>
  </si>
  <si>
    <t>E0206971</t>
  </si>
  <si>
    <t>ABEL BEY GEDDIS            MD</t>
  </si>
  <si>
    <t>STE 20</t>
  </si>
  <si>
    <t>ABREU MARIA</t>
  </si>
  <si>
    <t>DAVE DEVANG</t>
  </si>
  <si>
    <t>E0154530</t>
  </si>
  <si>
    <t>DAVE DEVANG MD</t>
  </si>
  <si>
    <t>DAVID JULIA DR.</t>
  </si>
  <si>
    <t>E0299807</t>
  </si>
  <si>
    <t>DAVID JULIA</t>
  </si>
  <si>
    <t>144-45 87TH AVE</t>
  </si>
  <si>
    <t>BRIARWOOD</t>
  </si>
  <si>
    <t>DAVIS ALECIA</t>
  </si>
  <si>
    <t>E0372754</t>
  </si>
  <si>
    <t>DAVIS ALECIA A NP</t>
  </si>
  <si>
    <t>526 ALTAMONT AVE</t>
  </si>
  <si>
    <t>DE LA CRUZ SONIA</t>
  </si>
  <si>
    <t>6120 GRAND CENTRAL PKWY, APT.B-507</t>
  </si>
  <si>
    <t>DEASY PAUL MR.</t>
  </si>
  <si>
    <t>E0328224</t>
  </si>
  <si>
    <t>DEASY PAUL</t>
  </si>
  <si>
    <t>DEASY PAUL G.</t>
  </si>
  <si>
    <t>817 BROADWAY FL 9 STE 6</t>
  </si>
  <si>
    <t>DESAI RAJESH DR.</t>
  </si>
  <si>
    <t>E0201696</t>
  </si>
  <si>
    <t>DESAI RAJESH B             MD</t>
  </si>
  <si>
    <t>573 BARNARD AVE</t>
  </si>
  <si>
    <t>WOODMERE</t>
  </si>
  <si>
    <t>DEVIA MARTHA</t>
  </si>
  <si>
    <t>DIAMANTINI PAOLO MR.</t>
  </si>
  <si>
    <t>E0309289</t>
  </si>
  <si>
    <t>DIAMANTINI PAOLO</t>
  </si>
  <si>
    <t>226 E 144TH ST</t>
  </si>
  <si>
    <t>DJEN SIMON</t>
  </si>
  <si>
    <t>E0041841</t>
  </si>
  <si>
    <t>DJEN SIMON ZINGWAH</t>
  </si>
  <si>
    <t>150 ESSEX STREET</t>
  </si>
  <si>
    <t>DOGARU-LUNGU SORINA</t>
  </si>
  <si>
    <t>E0042059</t>
  </si>
  <si>
    <t>DOGARU-LUNGU SORINA V MD</t>
  </si>
  <si>
    <t>GERIATRIC SVCS PC</t>
  </si>
  <si>
    <t>DONIN ROBERTA DR.</t>
  </si>
  <si>
    <t>E0198395</t>
  </si>
  <si>
    <t>DONIN ROBERTA L            MD</t>
  </si>
  <si>
    <t>Dry Harbor Nursing Home</t>
  </si>
  <si>
    <t>E0110148</t>
  </si>
  <si>
    <t>DRY HARBOR NURSING HOME ADHC</t>
  </si>
  <si>
    <t>DRY HARBOR HRF INC</t>
  </si>
  <si>
    <t>61-35 DRY HARBOR RD</t>
  </si>
  <si>
    <t>DRY HARBOR NURSING HOME</t>
  </si>
  <si>
    <t>6135 DRY HARBOR RD</t>
  </si>
  <si>
    <t>GUNDEL TRACEY</t>
  </si>
  <si>
    <t>E0293864</t>
  </si>
  <si>
    <t>7409 37TH AVE STE 3</t>
  </si>
  <si>
    <t>GUTNIK IGOR</t>
  </si>
  <si>
    <t>E0068591</t>
  </si>
  <si>
    <t>GUTNIK IGOR MD</t>
  </si>
  <si>
    <t>APT 1 G</t>
  </si>
  <si>
    <t>HABER MIRTA</t>
  </si>
  <si>
    <t>E0322028</t>
  </si>
  <si>
    <t>4500 PARSONS BOULEVA</t>
  </si>
  <si>
    <t>HAHN ERICA</t>
  </si>
  <si>
    <t>E0300611</t>
  </si>
  <si>
    <t>HAHN ERICA KYLE</t>
  </si>
  <si>
    <t>3611 21ST ST</t>
  </si>
  <si>
    <t>HAIDER QAZI DR.</t>
  </si>
  <si>
    <t>E0149750</t>
  </si>
  <si>
    <t>HAIDER QAZI KAMAL MD</t>
  </si>
  <si>
    <t>5920 VAN DOREN ST</t>
  </si>
  <si>
    <t>HALL TAMI</t>
  </si>
  <si>
    <t>E0342694</t>
  </si>
  <si>
    <t>HALL TAMI L</t>
  </si>
  <si>
    <t>540 FULTON AVE</t>
  </si>
  <si>
    <t>HALL-ROSS SANDRA</t>
  </si>
  <si>
    <t>E0143293</t>
  </si>
  <si>
    <t>HALL-ROSS SANDRA M MD</t>
  </si>
  <si>
    <t>CORNELL INTERNAL MED</t>
  </si>
  <si>
    <t>HAMPTON ELISA</t>
  </si>
  <si>
    <t>E0355579</t>
  </si>
  <si>
    <t>HAMPTON ELISA PADILLA</t>
  </si>
  <si>
    <t>525 E 68TH ST</t>
  </si>
  <si>
    <t>HAN JUNG-AH</t>
  </si>
  <si>
    <t>E0299174</t>
  </si>
  <si>
    <t>107 NORTHERN BLVD STE 303</t>
  </si>
  <si>
    <t>HANNA DENA</t>
  </si>
  <si>
    <t>E0324930</t>
  </si>
  <si>
    <t>HANNA DENA SHERIF</t>
  </si>
  <si>
    <t>68 DEAN ST</t>
  </si>
  <si>
    <t>HASSAN RANA DR.</t>
  </si>
  <si>
    <t>E0048648</t>
  </si>
  <si>
    <t>HASSAN RANA NADEEM MD</t>
  </si>
  <si>
    <t>670 STONELEIGH AVE</t>
  </si>
  <si>
    <t>CARMEL</t>
  </si>
  <si>
    <t>JANAS NODAR DR.</t>
  </si>
  <si>
    <t>E0048070</t>
  </si>
  <si>
    <t>JANAS NODAR MD</t>
  </si>
  <si>
    <t>JAWAID MOHAMMAD</t>
  </si>
  <si>
    <t>E0136471</t>
  </si>
  <si>
    <t>JAWAID MOHAMMAD MD</t>
  </si>
  <si>
    <t>GRACIE SQUARE HOSP</t>
  </si>
  <si>
    <t>PARTOS NANCY MS.</t>
  </si>
  <si>
    <t>E0386333</t>
  </si>
  <si>
    <t>PARTOS NANCY</t>
  </si>
  <si>
    <t>PARTOS NANCY MARGARET</t>
  </si>
  <si>
    <t>PATEL HIRALAL</t>
  </si>
  <si>
    <t>E0274737</t>
  </si>
  <si>
    <t>PATEL HIRALAL S            MD</t>
  </si>
  <si>
    <t>144-04 45TH AVE</t>
  </si>
  <si>
    <t>JENKINS MONIQUE</t>
  </si>
  <si>
    <t>E0320977</t>
  </si>
  <si>
    <t>94 MANHATTAN AVE # 98</t>
  </si>
  <si>
    <t>JIM CHARLES</t>
  </si>
  <si>
    <t>4611 216TH ST</t>
  </si>
  <si>
    <t>JOANNIDIS LINDA MS.</t>
  </si>
  <si>
    <t>2812 159TH STREET</t>
  </si>
  <si>
    <t>JOHN DAVID DR.</t>
  </si>
  <si>
    <t>E0162990</t>
  </si>
  <si>
    <t>JOHN DAVID H A</t>
  </si>
  <si>
    <t>JOHNSON SHARON</t>
  </si>
  <si>
    <t>E0290447</t>
  </si>
  <si>
    <t>JOHNSON SHARON DENISE</t>
  </si>
  <si>
    <t>ACHALLA KIRANMAYI</t>
  </si>
  <si>
    <t>E0046687</t>
  </si>
  <si>
    <t>ACHALLA KIRAN</t>
  </si>
  <si>
    <t>ACQUISTA DOMENICK DR.</t>
  </si>
  <si>
    <t>E0337866</t>
  </si>
  <si>
    <t>ACQUISTA DOMENICK</t>
  </si>
  <si>
    <t>162-15 HIGHLAND AVE</t>
  </si>
  <si>
    <t>ADDO-WALLACE EVELYN</t>
  </si>
  <si>
    <t>E0372701</t>
  </si>
  <si>
    <t>ADDO EVELYN</t>
  </si>
  <si>
    <t>ADDO EVELYN ADWOA</t>
  </si>
  <si>
    <t>ADEYEMO VIVIAN DR.</t>
  </si>
  <si>
    <t>E0012406</t>
  </si>
  <si>
    <t>ADEYEMO VIVIAN OGHENEVWEDE  MD</t>
  </si>
  <si>
    <t>AGEWELL NEW YORK LLC</t>
  </si>
  <si>
    <t>E0337589</t>
  </si>
  <si>
    <t>Tara Buonocore-Rut</t>
  </si>
  <si>
    <t>(718) 289-2669</t>
  </si>
  <si>
    <t>tbuonocore@agewellnewyork.com</t>
  </si>
  <si>
    <t>RUBIN MOSHE DR.</t>
  </si>
  <si>
    <t>E0192702</t>
  </si>
  <si>
    <t>RUBIN MOSHE MD</t>
  </si>
  <si>
    <t>5141 BROADWAY</t>
  </si>
  <si>
    <t>Centerlight Healthcare Diagnostic &amp; Treatment Center (668 Allerton Avenue)</t>
  </si>
  <si>
    <t>E0164623</t>
  </si>
  <si>
    <t>COMPREHENSIVE CARE MGT D&amp;T CT</t>
  </si>
  <si>
    <t>CENTERLIGHT DIAGNOSTIC AND TREATMENT CENTER, INC.</t>
  </si>
  <si>
    <t>2401 WHITE PLAINS RD</t>
  </si>
  <si>
    <t>CenterLight Healthcare Inc</t>
  </si>
  <si>
    <t>E0029167</t>
  </si>
  <si>
    <t>CCM SELECT MLTC</t>
  </si>
  <si>
    <t>CENTERLIGHT HEALTHCARE SELECT MLTC</t>
  </si>
  <si>
    <t>NEW YORK CITY CO</t>
  </si>
  <si>
    <t>E0176500</t>
  </si>
  <si>
    <t>COMPREHENSIVE CARE MGMT CORP</t>
  </si>
  <si>
    <t>CENTERLIGHT HEALTHCARE PACE</t>
  </si>
  <si>
    <t>BRONX COUNTY</t>
  </si>
  <si>
    <t>Residential Supports in Community Settings</t>
  </si>
  <si>
    <t>1250 Waters Place</t>
  </si>
  <si>
    <t>CATH CHAR NGHBHD SVS DONALD SAVIO ICF</t>
  </si>
  <si>
    <t>E0198501</t>
  </si>
  <si>
    <t>CATH CHAR NGHBHD DONALD SAVIO ICF</t>
  </si>
  <si>
    <t>DONALD SAVIO ICF</t>
  </si>
  <si>
    <t>FAMILY HOME CARE SERVICES OF BROOKLYN &amp; QUEENS, INC.</t>
  </si>
  <si>
    <t>168 7TH ST, SUITE 1</t>
  </si>
  <si>
    <t>CHENNAREDDY SWAMINATHAN</t>
  </si>
  <si>
    <t>E0276048</t>
  </si>
  <si>
    <t>Adinah Pelman</t>
  </si>
  <si>
    <t>121 DEKALB AVE</t>
  </si>
  <si>
    <t>HONG JAE</t>
  </si>
  <si>
    <t>E0138672</t>
  </si>
  <si>
    <t>HONG JAE KWANG MD</t>
  </si>
  <si>
    <t>EMER PHYS WYCKOFF</t>
  </si>
  <si>
    <t>BETHPAGE</t>
  </si>
  <si>
    <t>WANG VINCENT DR.</t>
  </si>
  <si>
    <t>E0036059</t>
  </si>
  <si>
    <t>WANG YUANCONG MD</t>
  </si>
  <si>
    <t>WANG VINCENT YUANCONG MD</t>
  </si>
  <si>
    <t>3907 PRINCE ST STE 2D</t>
  </si>
  <si>
    <t>LOWELL BRUCE DR.</t>
  </si>
  <si>
    <t>E0260692</t>
  </si>
  <si>
    <t>BRUCE K LOWELL MD PC</t>
  </si>
  <si>
    <t>TOLIA JITENDRA DR.</t>
  </si>
  <si>
    <t>E0181652</t>
  </si>
  <si>
    <t>TOLIA JITENDRA N   MD</t>
  </si>
  <si>
    <t>3147 77TH ST</t>
  </si>
  <si>
    <t>REDDY SATISH DR.</t>
  </si>
  <si>
    <t>E0162471</t>
  </si>
  <si>
    <t>REDDY SATISH  MD</t>
  </si>
  <si>
    <t>SATTERFIELD JAMES DR.</t>
  </si>
  <si>
    <t>E0209889</t>
  </si>
  <si>
    <t>SATTERFIELD JAMES EDWARD MD</t>
  </si>
  <si>
    <t>2918 BUTLER ST</t>
  </si>
  <si>
    <t>SEGAL-MAURER SORANA</t>
  </si>
  <si>
    <t>E0144673</t>
  </si>
  <si>
    <t>SEGAL-MAURER SORANA MD</t>
  </si>
  <si>
    <t>SIEGEL BETH DR.</t>
  </si>
  <si>
    <t>E0127476</t>
  </si>
  <si>
    <t>SIEGEL BETH M MD</t>
  </si>
  <si>
    <t>SO NASSAU COMM HOSP</t>
  </si>
  <si>
    <t>SKUPSKI DANIEL</t>
  </si>
  <si>
    <t>E0160424</t>
  </si>
  <si>
    <t>SKUPSKI DANIEL W MD</t>
  </si>
  <si>
    <t>CUMC OB GYN MOO1</t>
  </si>
  <si>
    <t>THANJAN MARIA DR.</t>
  </si>
  <si>
    <t>E0008942</t>
  </si>
  <si>
    <t>THANJAN MARIA MD</t>
  </si>
  <si>
    <t>TIBALDI JOSEPH</t>
  </si>
  <si>
    <t>E0216705</t>
  </si>
  <si>
    <t>TIBALDI JOSEPH MICHAEL MD</t>
  </si>
  <si>
    <t>59-45 161ST STREET</t>
  </si>
  <si>
    <t>TISZENKEL HOWARD</t>
  </si>
  <si>
    <t>E0197256</t>
  </si>
  <si>
    <t>TISZENKEL HOWARD I         MD</t>
  </si>
  <si>
    <t>TSATSAS MANOLIS</t>
  </si>
  <si>
    <t>E0114027</t>
  </si>
  <si>
    <t>TSATSAS MANOLIS T MD</t>
  </si>
  <si>
    <t>TURKISH AARON DR.</t>
  </si>
  <si>
    <t>E0079741</t>
  </si>
  <si>
    <t>TURKISH AARON MD</t>
  </si>
  <si>
    <t>EMERGENCY DEPT</t>
  </si>
  <si>
    <t>WANG GERALD DR.</t>
  </si>
  <si>
    <t>E0300671</t>
  </si>
  <si>
    <t>WANG GERALD JEH</t>
  </si>
  <si>
    <t>5645 MAIN ST # M204</t>
  </si>
  <si>
    <t>WEHBEH WEHBEH MR.</t>
  </si>
  <si>
    <t>E0103859</t>
  </si>
  <si>
    <t>WEHBEH WEHBEH MD</t>
  </si>
  <si>
    <t>WEHBEH WEHBEH</t>
  </si>
  <si>
    <t>ST BARNABAS HOSP</t>
  </si>
  <si>
    <t>ZEYNELOGLU NEJAT</t>
  </si>
  <si>
    <t>E0001200</t>
  </si>
  <si>
    <t>ZEYNELOGLU NEJAT MD</t>
  </si>
  <si>
    <t>1901 1ST AVE</t>
  </si>
  <si>
    <t>DU LIANG</t>
  </si>
  <si>
    <t>DU LIANG DR.</t>
  </si>
  <si>
    <t>355 BARD AVE, APARTMENT 5D</t>
  </si>
  <si>
    <t>STATE OF NEW YORK</t>
  </si>
  <si>
    <t>E0167215</t>
  </si>
  <si>
    <t>B FINESON DC HILLSIDE II</t>
  </si>
  <si>
    <t>Ann Morgan</t>
  </si>
  <si>
    <t>(718) 217-6942</t>
  </si>
  <si>
    <t>ann.morgan@opwdd.ny.gov</t>
  </si>
  <si>
    <t>HILLSIDE II</t>
  </si>
  <si>
    <t>E0167217</t>
  </si>
  <si>
    <t>B FINESON DC HILLSIDE I</t>
  </si>
  <si>
    <t>HILLSIDE I</t>
  </si>
  <si>
    <t>CHAIKHOUTDINOV MARAT</t>
  </si>
  <si>
    <t>E0017851</t>
  </si>
  <si>
    <t>CHAIKHOUTDINOV MARAT GALIYEVICH MD</t>
  </si>
  <si>
    <t>CHAIKHOUTDINOV MARAT GALIYEVICH</t>
  </si>
  <si>
    <t>690 BAY ST</t>
  </si>
  <si>
    <t>CHIU CHING</t>
  </si>
  <si>
    <t>E0238977</t>
  </si>
  <si>
    <t>CHIU CHING TSWEN           MD</t>
  </si>
  <si>
    <t>13323 41ST RD</t>
  </si>
  <si>
    <t>CHOU JUNG</t>
  </si>
  <si>
    <t>E0022043</t>
  </si>
  <si>
    <t>CHOU JUNG CHUNG MD</t>
  </si>
  <si>
    <t>19718 CARPENTER AVE</t>
  </si>
  <si>
    <t>MORGAN ANN DR.</t>
  </si>
  <si>
    <t>E0163423</t>
  </si>
  <si>
    <t>MORGAN ANN CATHERINE</t>
  </si>
  <si>
    <t>80-45 WINCHESTER BLVD</t>
  </si>
  <si>
    <t>NATOVICH NATALIA</t>
  </si>
  <si>
    <t>E0027193</t>
  </si>
  <si>
    <t>NATOVICH NATALIA MD</t>
  </si>
  <si>
    <t>DAVIS AVE @ EAST POST ROAD</t>
  </si>
  <si>
    <t>UMALI DANIEL</t>
  </si>
  <si>
    <t>E0142100</t>
  </si>
  <si>
    <t>UMALI DANIEL P MD</t>
  </si>
  <si>
    <t>8502 66TH RD</t>
  </si>
  <si>
    <t>YATCO RUBEN</t>
  </si>
  <si>
    <t>E0221533</t>
  </si>
  <si>
    <t>YATCO RUBEN TAPIA          MD</t>
  </si>
  <si>
    <t>17706 WEXFORD TER</t>
  </si>
  <si>
    <t>DELBRUNE SERGE</t>
  </si>
  <si>
    <t>E0445190</t>
  </si>
  <si>
    <t>DELBRUNE SERGE LOUIS</t>
  </si>
  <si>
    <t>CREEDMOOR ADDICTION TREATMENT CENTER</t>
  </si>
  <si>
    <t>E0156153</t>
  </si>
  <si>
    <t>CREEDMOOR ADDICTION TRT CTR</t>
  </si>
  <si>
    <t>Martin Moskowitz</t>
  </si>
  <si>
    <t>(718) 264-3755</t>
  </si>
  <si>
    <t>Martin.Moskowitz@oasas.ny.gov</t>
  </si>
  <si>
    <t>DUBOIS ELIZABETH</t>
  </si>
  <si>
    <t>E0303789</t>
  </si>
  <si>
    <t>DUBOIS ELIZABETH MARIE</t>
  </si>
  <si>
    <t>339 HICKS ST</t>
  </si>
  <si>
    <t>YOUNG CONSTANCE DR.</t>
  </si>
  <si>
    <t>E0195415</t>
  </si>
  <si>
    <t>YOUNG CONSTANCE A MD PLLC</t>
  </si>
  <si>
    <t>8049 CYPRESS AVE</t>
  </si>
  <si>
    <t>SES OPERATING CORP</t>
  </si>
  <si>
    <t>E0102156</t>
  </si>
  <si>
    <t>HARLEM EAST LIFE PLAN</t>
  </si>
  <si>
    <t>Joanne King</t>
  </si>
  <si>
    <t>(212) 876-2300</t>
  </si>
  <si>
    <t>Jnk@helpmedical.org</t>
  </si>
  <si>
    <t>MIRANI AJAY</t>
  </si>
  <si>
    <t>E0297835</t>
  </si>
  <si>
    <t>MIRANI AJAY JAYANT</t>
  </si>
  <si>
    <t>MOUSTAKAKIS EMMANUEL DR.</t>
  </si>
  <si>
    <t>E0294438</t>
  </si>
  <si>
    <t>EMMANUEL N MOUSTAKAKIS MD</t>
  </si>
  <si>
    <t>MOUSTAKAKIS EMMANUEL N</t>
  </si>
  <si>
    <t>56 45 MAIN ST</t>
  </si>
  <si>
    <t>PAN CYNTHIA DR.</t>
  </si>
  <si>
    <t>E0125484</t>
  </si>
  <si>
    <t>PAN CYNTHIA X MD</t>
  </si>
  <si>
    <t>GERIATRIC MED ASSOC</t>
  </si>
  <si>
    <t>PATEL MELVINA</t>
  </si>
  <si>
    <t>E0337869</t>
  </si>
  <si>
    <t>PAVLOVICI CALINA</t>
  </si>
  <si>
    <t>E0048666</t>
  </si>
  <si>
    <t>PAVLOVICI CALINA LIA MD</t>
  </si>
  <si>
    <t>QUACH TONY</t>
  </si>
  <si>
    <t>E0295800</t>
  </si>
  <si>
    <t>QUACH TONY MD</t>
  </si>
  <si>
    <t>SAMPLE JASON</t>
  </si>
  <si>
    <t>E0057422</t>
  </si>
  <si>
    <t>SAMPLE JASON MICHAEL MD</t>
  </si>
  <si>
    <t>TJH MEDICAL SRVS PC</t>
  </si>
  <si>
    <t>MANN JACK</t>
  </si>
  <si>
    <t>E0207397</t>
  </si>
  <si>
    <t>MANN JACK M                MD</t>
  </si>
  <si>
    <t>4223 FRANCIS LEWIS BLVD</t>
  </si>
  <si>
    <t>CHARYTAN CHAIM DR.</t>
  </si>
  <si>
    <t>E0278297</t>
  </si>
  <si>
    <t>CHARYTAN CHAIM             MD</t>
  </si>
  <si>
    <t>Chaim Charyton</t>
  </si>
  <si>
    <t>(718) 670-1276</t>
  </si>
  <si>
    <t>cxcharyt@nyp.org</t>
  </si>
  <si>
    <t>CHARYTAN CHAIM</t>
  </si>
  <si>
    <t>1874 PELHAM PKWY S</t>
  </si>
  <si>
    <t>GOLDEN RONALD DR.</t>
  </si>
  <si>
    <t>E0277311</t>
  </si>
  <si>
    <t>GOLDEN RONALD A            MD</t>
  </si>
  <si>
    <t>SPINOWITZ BRUCE DR.</t>
  </si>
  <si>
    <t>E0267672</t>
  </si>
  <si>
    <t>SPINOWITZ BRUCE S          MD</t>
  </si>
  <si>
    <t>CLIFFSIDE NURS HM</t>
  </si>
  <si>
    <t>GALLER MARILYN DR.</t>
  </si>
  <si>
    <t>E0220064</t>
  </si>
  <si>
    <t>GALLER MARILYN             MD</t>
  </si>
  <si>
    <t>GALLER MARILYN</t>
  </si>
  <si>
    <t>AHMED SULTAN</t>
  </si>
  <si>
    <t>E0088814</t>
  </si>
  <si>
    <t>AHMED SULTAN MD</t>
  </si>
  <si>
    <t>1420 WHITE PLAINS RD</t>
  </si>
  <si>
    <t>AIDS Center of Queens County, Inc.</t>
  </si>
  <si>
    <t>E0144842</t>
  </si>
  <si>
    <t>AIDS CTR OF QUEENS COUNTY INC</t>
  </si>
  <si>
    <t>All Other:: Case Management / Health Home:: Mental Health</t>
  </si>
  <si>
    <t>AIDS CENTER OF QUEENS COUNTY, INC.</t>
  </si>
  <si>
    <t>AIDS CENTER QUEENS COUNTY INC</t>
  </si>
  <si>
    <t>16121 JAMAICA AVE FL 7</t>
  </si>
  <si>
    <t>ALBRIGHT SAMUEL MR.</t>
  </si>
  <si>
    <t>62-02 WOODSIDE AVE, 4TH FLOOR</t>
  </si>
  <si>
    <t>QUEENS</t>
  </si>
  <si>
    <t>ALEXANDER INFUSION LLC</t>
  </si>
  <si>
    <t>E0118486</t>
  </si>
  <si>
    <t>Pietro Piacquadio</t>
  </si>
  <si>
    <t>(516) 280-1000</t>
  </si>
  <si>
    <t>ppiacquadio@avantihealth.com</t>
  </si>
  <si>
    <t>75 NASSAU TERMINAL RD</t>
  </si>
  <si>
    <t>ALI AMANDA</t>
  </si>
  <si>
    <t>E0372697</t>
  </si>
  <si>
    <t>ALI AMANDA ELIZABETH</t>
  </si>
  <si>
    <t>ALIAH HOME CARE INC</t>
  </si>
  <si>
    <t>9610 23RD AVE</t>
  </si>
  <si>
    <t>Alpine Home Care</t>
  </si>
  <si>
    <t>E0287872</t>
  </si>
  <si>
    <t>ALPINE HOME HEALTH CARE LLC</t>
  </si>
  <si>
    <t xml:space="preserve">Deborah Forbes </t>
  </si>
  <si>
    <t>(914) 323-8769</t>
  </si>
  <si>
    <t>dforbes@alpinehhc.org</t>
  </si>
  <si>
    <t>4770 WHITE PLAINS RD</t>
  </si>
  <si>
    <t>Americare Certified Special Services, Inc</t>
  </si>
  <si>
    <t>E0159984</t>
  </si>
  <si>
    <t>AMERICARE CERTIFIED SS INC</t>
  </si>
  <si>
    <t>Falvish Pewzner, Senior VP and COO</t>
  </si>
  <si>
    <t>(718) 256-6000</t>
  </si>
  <si>
    <t>fpewzner@americare.com</t>
  </si>
  <si>
    <t>AMERICARE CERTIFIED SPECIAL SERVICES, INC.</t>
  </si>
  <si>
    <t>5923 STRICKLAND AVE</t>
  </si>
  <si>
    <t>AMIN KALPESH DR.</t>
  </si>
  <si>
    <t>E0135583</t>
  </si>
  <si>
    <t>AMIN KALPESH S MD</t>
  </si>
  <si>
    <t>7846 PARSONS BLVD</t>
  </si>
  <si>
    <t>AMIN PRINA</t>
  </si>
  <si>
    <t>E0299123</t>
  </si>
  <si>
    <t>AMIN PRINA PANDYA</t>
  </si>
  <si>
    <t>525 E 68TH ST # M-6</t>
  </si>
  <si>
    <t>ANAND KUL</t>
  </si>
  <si>
    <t>E0366491</t>
  </si>
  <si>
    <t>ANAND KUL BHUSHAN</t>
  </si>
  <si>
    <t>ANGLADE CLAUDIA DR.</t>
  </si>
  <si>
    <t>E0337900</t>
  </si>
  <si>
    <t>ANGLADE CLAUDIA</t>
  </si>
  <si>
    <t>E0185301</t>
  </si>
  <si>
    <t>CAH ST MARYS HOSP CHILDREN</t>
  </si>
  <si>
    <t>KAMENSHCHIKOVA MARINA</t>
  </si>
  <si>
    <t>E0044124</t>
  </si>
  <si>
    <t>KAMENSHCHIKOVA MARINA MD</t>
  </si>
  <si>
    <t>1545 ATLANTIC AVE</t>
  </si>
  <si>
    <t>KATHPALIA KUSUM DR.</t>
  </si>
  <si>
    <t>E0228844</t>
  </si>
  <si>
    <t>KATHPALIA KUSUM            MD</t>
  </si>
  <si>
    <t>JAMAICA HOSP</t>
  </si>
  <si>
    <t>KHALDAROV YEVGENIY</t>
  </si>
  <si>
    <t>E0071242</t>
  </si>
  <si>
    <t>KHALDAROV YEVGENIY MD</t>
  </si>
  <si>
    <t>APT F8</t>
  </si>
  <si>
    <t>KHAN MUNIBUR</t>
  </si>
  <si>
    <t>E0009709</t>
  </si>
  <si>
    <t>KHAN NASRIN DR.</t>
  </si>
  <si>
    <t>E0042531</t>
  </si>
  <si>
    <t>KHAN NASRIN AKTER MD</t>
  </si>
  <si>
    <t>KOWACZ TOMASZ DR.</t>
  </si>
  <si>
    <t>E0073347</t>
  </si>
  <si>
    <t>KOWACZ TOMASZ WOJCIECH MD</t>
  </si>
  <si>
    <t>891 NORTHERN BLVD</t>
  </si>
  <si>
    <t>KUMAR YOGESH DR.</t>
  </si>
  <si>
    <t>E0122413</t>
  </si>
  <si>
    <t>KUMAR YOGESH MD</t>
  </si>
  <si>
    <t>54 STEPHAN MARC LN</t>
  </si>
  <si>
    <t>KYMISSIS CARISA DR.</t>
  </si>
  <si>
    <t>E0010172</t>
  </si>
  <si>
    <t>KYMISSIS CARISA MAUREEN MD</t>
  </si>
  <si>
    <t>1090 AMSTERDAM AVE</t>
  </si>
  <si>
    <t>LAKS DAVID DR.</t>
  </si>
  <si>
    <t>E0065195</t>
  </si>
  <si>
    <t>LAKS DAVID MD</t>
  </si>
  <si>
    <t>138-76 QUEENS BLVD FL 1</t>
  </si>
  <si>
    <t>LINFIELD LOUIS DR.</t>
  </si>
  <si>
    <t>E0188320</t>
  </si>
  <si>
    <t>LINFIELD LOUIS S MD</t>
  </si>
  <si>
    <t>LINFIELD LOUIS S</t>
  </si>
  <si>
    <t>79-25 WINCHESTER BLVD</t>
  </si>
  <si>
    <t>MALASPINA DOLORES DR.</t>
  </si>
  <si>
    <t>E0361276</t>
  </si>
  <si>
    <t>DOLORES MALASPINA</t>
  </si>
  <si>
    <t>MALASPINA DOLORES</t>
  </si>
  <si>
    <t>MCLEAN JAMES</t>
  </si>
  <si>
    <t>E0328173</t>
  </si>
  <si>
    <t>MCLEAN JAMES E</t>
  </si>
  <si>
    <t>NINAN PHILIP DR.</t>
  </si>
  <si>
    <t>E0205824</t>
  </si>
  <si>
    <t>NINAN PHILIP MOHAN         MD</t>
  </si>
  <si>
    <t>NINAN PHILIP MOHAN</t>
  </si>
  <si>
    <t>7925 WINCHESTER BLVD # 9B40</t>
  </si>
  <si>
    <t>ONYEIKE GODWIN DR.</t>
  </si>
  <si>
    <t>E0105287</t>
  </si>
  <si>
    <t>ONYEIKE GODWIN DO</t>
  </si>
  <si>
    <t>355 BARD AVE</t>
  </si>
  <si>
    <t>UTHMAN ADEOLA DR.</t>
  </si>
  <si>
    <t>E0015198</t>
  </si>
  <si>
    <t>UTHMAN ADEOLA RAFIHHI MD</t>
  </si>
  <si>
    <t>225 PARKSIDE AVE APT 1D</t>
  </si>
  <si>
    <t>VELA ANTHONY</t>
  </si>
  <si>
    <t>E0135317</t>
  </si>
  <si>
    <t>VELA ANTHONY T P J MD</t>
  </si>
  <si>
    <t>FLUSHING HSP</t>
  </si>
  <si>
    <t>VISITING NURSE SER/NY HM CARE LTHHC</t>
  </si>
  <si>
    <t>E0004967</t>
  </si>
  <si>
    <t>VNSNY COMMUNITY HEALTH SERVICES</t>
  </si>
  <si>
    <t>Sarah Larson</t>
  </si>
  <si>
    <t>(212) 609-7563</t>
  </si>
  <si>
    <t>sarah.larson@vnsny.org</t>
  </si>
  <si>
    <t>All Other:: Case Management / Health Home:: Hospice:: Mental Health</t>
  </si>
  <si>
    <t>107 E 70TH ST</t>
  </si>
  <si>
    <t>Visiting Nurse Service of New York Home Care</t>
  </si>
  <si>
    <t>VISITING NURSE SERVICE OF NEW YORK HOME CARE II</t>
  </si>
  <si>
    <t>VISITING NURSE SERVICE/NY HM CARE</t>
  </si>
  <si>
    <t>489 E 153RD ST # 493</t>
  </si>
  <si>
    <t>VNSNY Hospice and Palliavtive Care</t>
  </si>
  <si>
    <t>E0194920</t>
  </si>
  <si>
    <t>VNS OF NY HOSPICE CARE</t>
  </si>
  <si>
    <t>VISITING NURSE SERVICE OF NEW YORK HOSPICE CARE</t>
  </si>
  <si>
    <t>1250 BROADWAY</t>
  </si>
  <si>
    <t>WASEEM FAISAL</t>
  </si>
  <si>
    <t>E0119287</t>
  </si>
  <si>
    <t>WASEEM FAISAL MD</t>
  </si>
  <si>
    <t>WASSERMAN BURTON DR.</t>
  </si>
  <si>
    <t>E0112727</t>
  </si>
  <si>
    <t>WASSERMAN BURTON DDS</t>
  </si>
  <si>
    <t>Waterview Nursing Care Center</t>
  </si>
  <si>
    <t>E0268160</t>
  </si>
  <si>
    <t>WATERVIEW NURSING CC</t>
  </si>
  <si>
    <t>Michael Berger, LNHA</t>
  </si>
  <si>
    <t>WATERVIEW NURSING CARE CENTER, INC.</t>
  </si>
  <si>
    <t>WATERVIEW NURSING CARE CENTER</t>
  </si>
  <si>
    <t>119-15 27TH AVE</t>
  </si>
  <si>
    <t>WEINER HOLLY MS.</t>
  </si>
  <si>
    <t>E0064949</t>
  </si>
  <si>
    <t>WEINER HOLLY H</t>
  </si>
  <si>
    <t>WEINER HOLLY</t>
  </si>
  <si>
    <t>WEINSTEIN LEON</t>
  </si>
  <si>
    <t>E0140086</t>
  </si>
  <si>
    <t>WEINSTEIN LEON MD</t>
  </si>
  <si>
    <t>L &amp; W MEDICAL CARE</t>
  </si>
  <si>
    <t>WEISS LASZLO</t>
  </si>
  <si>
    <t>E0218510</t>
  </si>
  <si>
    <t>WEISS LASZLO               MD</t>
  </si>
  <si>
    <t>3096 BRIGHTON 6TH ST</t>
  </si>
  <si>
    <t>WEISSMAN MATTHEW</t>
  </si>
  <si>
    <t>E0031969</t>
  </si>
  <si>
    <t>WEISSMAN MATTHEW ARON MD</t>
  </si>
  <si>
    <t>967 N BROADWAY</t>
  </si>
  <si>
    <t>WEISSMAN SCOTT DR.</t>
  </si>
  <si>
    <t>E0186543</t>
  </si>
  <si>
    <t>WEISSMAN SCOTT STUART MD PC</t>
  </si>
  <si>
    <t>WEISSMAN SCOTT STUART MD</t>
  </si>
  <si>
    <t>310 E 14TH ST</t>
  </si>
  <si>
    <t>WERTENTHEIL MARVIN DR.</t>
  </si>
  <si>
    <t>E0240702</t>
  </si>
  <si>
    <t>WERTENTHIEL MARVIN H MD</t>
  </si>
  <si>
    <t>WIESINGER KATHERINE</t>
  </si>
  <si>
    <t>E0337819</t>
  </si>
  <si>
    <t>ALEXANDER KATHERINE</t>
  </si>
  <si>
    <t>WINDER ALAN DR.</t>
  </si>
  <si>
    <t>E0037985</t>
  </si>
  <si>
    <t>WINDER ALAN BETZALEL PHD</t>
  </si>
  <si>
    <t>WINDER ALAN BETZALEL</t>
  </si>
  <si>
    <t>CHE SR PSYCHL SRVCS</t>
  </si>
  <si>
    <t>WOODCREST NURSING HOME</t>
  </si>
  <si>
    <t>E0268085</t>
  </si>
  <si>
    <t>WOODCREST REHABILITATION AND RESIDENTIAL HEALTH CARE CENTER LLC</t>
  </si>
  <si>
    <t>WOODCREST REHAB &amp; RESIDENT HLTH CAR</t>
  </si>
  <si>
    <t>WUBSHET BERHANE DR.</t>
  </si>
  <si>
    <t>E0133103</t>
  </si>
  <si>
    <t>WUBSHET BERHANE MD</t>
  </si>
  <si>
    <t>9131 175TH ST</t>
  </si>
  <si>
    <t>YA AUNG DR.</t>
  </si>
  <si>
    <t>E0037723</t>
  </si>
  <si>
    <t>YA AUNG ZE MD</t>
  </si>
  <si>
    <t>YAGUDAYEV LEV</t>
  </si>
  <si>
    <t>E0005043</t>
  </si>
  <si>
    <t>YAGUDAYEV LEV MD</t>
  </si>
  <si>
    <t>10810 72ND AVE</t>
  </si>
  <si>
    <t>YEE LILY</t>
  </si>
  <si>
    <t>E0155598</t>
  </si>
  <si>
    <t>YEE LILY FONG CHO MD</t>
  </si>
  <si>
    <t>YETURU BHASKAR</t>
  </si>
  <si>
    <t>E0041397</t>
  </si>
  <si>
    <t>YETURU BHASKAR REDDY MD</t>
  </si>
  <si>
    <t>8712 58TH AVE</t>
  </si>
  <si>
    <t>1815 215TH ST, APT 2M</t>
  </si>
  <si>
    <t>Best Choice Home Health Care (596 Prospect Place)</t>
  </si>
  <si>
    <t>BEST CHOICE HOME HEALTH CARE, INC.</t>
  </si>
  <si>
    <t>596 PROSPECT PL</t>
  </si>
  <si>
    <t>PATEL REENA</t>
  </si>
  <si>
    <t>E0327569</t>
  </si>
  <si>
    <t>PATEL REENA J</t>
  </si>
  <si>
    <t>78-46 PARSONS BLVD</t>
  </si>
  <si>
    <t>PATEL SEEMA DR.</t>
  </si>
  <si>
    <t>E0317161</t>
  </si>
  <si>
    <t>PATEL SEEMA</t>
  </si>
  <si>
    <t>PATEL SEEMA JAYANT MD</t>
  </si>
  <si>
    <t>PEARLMAN SHOSHANNAH MS.</t>
  </si>
  <si>
    <t>E0374499</t>
  </si>
  <si>
    <t>PEARLMAN SHOSHANNAH</t>
  </si>
  <si>
    <t>PEKAREVA-KOCHERGINA IRINA MRS.</t>
  </si>
  <si>
    <t>E0364225</t>
  </si>
  <si>
    <t>PEKAREVA-KOCHERGINA IRINA</t>
  </si>
  <si>
    <t>PELZMAN FRED</t>
  </si>
  <si>
    <t>E0133425</t>
  </si>
  <si>
    <t>PELZMAN FRED NATHAN MD</t>
  </si>
  <si>
    <t>CORNELL INT MED ASC</t>
  </si>
  <si>
    <t>PEREZ MARGARITA</t>
  </si>
  <si>
    <t>E0056080</t>
  </si>
  <si>
    <t>PEREZ MARGARITA DE LOS ANGELES MD</t>
  </si>
  <si>
    <t>LINCOLN HOSP</t>
  </si>
  <si>
    <t>PERRON THOMAS MR.</t>
  </si>
  <si>
    <t>E0323400</t>
  </si>
  <si>
    <t>PERRON THOMAS</t>
  </si>
  <si>
    <t>PERRON THOMAS WEST</t>
  </si>
  <si>
    <t>RATHINAPANDIAN FRANCIS</t>
  </si>
  <si>
    <t>E0084162</t>
  </si>
  <si>
    <t>RATHINAPANDIAN FRANCIS X MD</t>
  </si>
  <si>
    <t>TERRENCE COOKE HLTH</t>
  </si>
  <si>
    <t>RAYAPPA PREMA DR.</t>
  </si>
  <si>
    <t>E0358750</t>
  </si>
  <si>
    <t>RAYAPPA PREMALATHA</t>
  </si>
  <si>
    <t>REDDY THULASI DR.</t>
  </si>
  <si>
    <t>E0027593</t>
  </si>
  <si>
    <t>REDDY THULASI</t>
  </si>
  <si>
    <t>REDDY THULASI RAMU</t>
  </si>
  <si>
    <t>82-68 164TH ST</t>
  </si>
  <si>
    <t>AL-SALOUM MOURHEGE DR.</t>
  </si>
  <si>
    <t>E0133447</t>
  </si>
  <si>
    <t>ALSALOUM MOURHEGE MATTA MD</t>
  </si>
  <si>
    <t>ALSALOUM MOURHEGE MATTA</t>
  </si>
  <si>
    <t>RAICHOUDHURY RITESH DR.</t>
  </si>
  <si>
    <t>E0057441</t>
  </si>
  <si>
    <t>RAICHOUDHURY RITESH MD</t>
  </si>
  <si>
    <t>NYHMCQ</t>
  </si>
  <si>
    <t>KUO SHENG DR.</t>
  </si>
  <si>
    <t>E0288034</t>
  </si>
  <si>
    <t>KUO SHENG FENG MD</t>
  </si>
  <si>
    <t>GOLDBERG ALLA</t>
  </si>
  <si>
    <t>E0315117</t>
  </si>
  <si>
    <t>GOLDBERG ALLA DO</t>
  </si>
  <si>
    <t>18219 HORACE HARDING EXPY</t>
  </si>
  <si>
    <t>BAGHDASSARIAN BAGDIG</t>
  </si>
  <si>
    <t>E0170174</t>
  </si>
  <si>
    <t>BAGHDASSARIAN BAGDIG S MD</t>
  </si>
  <si>
    <t>Sister Joseph Catherine Raymond</t>
  </si>
  <si>
    <t>(718) 423-2000</t>
  </si>
  <si>
    <t>jcraymond@ozanamhall.org</t>
  </si>
  <si>
    <t>BAGHDASSARIAN BAGDIG SIMON</t>
  </si>
  <si>
    <t>222 STATION PLZ N</t>
  </si>
  <si>
    <t>BHARDWAJ RAKESH DR.</t>
  </si>
  <si>
    <t>E0144188</t>
  </si>
  <si>
    <t>BHARDWAJ RAKESH KUMAR MD</t>
  </si>
  <si>
    <t>8945 SPRINGFIELD BLVD</t>
  </si>
  <si>
    <t>CHUDY SYLVIA DR.</t>
  </si>
  <si>
    <t>E0311752</t>
  </si>
  <si>
    <t>SYLVIA H CHUDY MD</t>
  </si>
  <si>
    <t>CHUDY SYLVIA H MD</t>
  </si>
  <si>
    <t>1 SCHOOL ST STE 203</t>
  </si>
  <si>
    <t>TRIVEDI ASHWIN DR.</t>
  </si>
  <si>
    <t>E0097808</t>
  </si>
  <si>
    <t>TRIVEDI ASHWIN</t>
  </si>
  <si>
    <t>9229 QUEENS BLVD</t>
  </si>
  <si>
    <t>CAPOBIANCO LUIGI</t>
  </si>
  <si>
    <t>E0153590</t>
  </si>
  <si>
    <t>CAPOBIANCO LUIGI M MD PC</t>
  </si>
  <si>
    <t>CAPOBIANCO LUIGI MICHELE</t>
  </si>
  <si>
    <t>4 MEDICAL PLZ</t>
  </si>
  <si>
    <t>MURTEZANI SKENDER</t>
  </si>
  <si>
    <t>E0032422</t>
  </si>
  <si>
    <t>MURTEZANI SKENDER MD</t>
  </si>
  <si>
    <t>5516 MAIN ST</t>
  </si>
  <si>
    <t>SOMOGYI ANTHONY DR.</t>
  </si>
  <si>
    <t>E0146396</t>
  </si>
  <si>
    <t>SOMOGYI ANTHONY A MD</t>
  </si>
  <si>
    <t>NY HSP MED CTR QNS</t>
  </si>
  <si>
    <t>GARNES MARIE DR.</t>
  </si>
  <si>
    <t>E0038318</t>
  </si>
  <si>
    <t>FIEVRE GARNES MARIE FT MD</t>
  </si>
  <si>
    <t>Corina Sharp</t>
  </si>
  <si>
    <t>(212) 545-2441</t>
  </si>
  <si>
    <t>csharp@chnnyc.org</t>
  </si>
  <si>
    <t>1125 FULTON ST</t>
  </si>
  <si>
    <t>Lifeline Center for Child Development</t>
  </si>
  <si>
    <t>E0273988</t>
  </si>
  <si>
    <t>LIFELINE CTR FOR CHILD DEV DT</t>
  </si>
  <si>
    <t>Dr. Joseph Zacherman</t>
  </si>
  <si>
    <t>(718) 740-4300</t>
  </si>
  <si>
    <t>drzat23@aol.com</t>
  </si>
  <si>
    <t>All Other:: Mental Health</t>
  </si>
  <si>
    <t>LIFELINE CENTER FOR CHILD DEVELOPMENT</t>
  </si>
  <si>
    <t>LIFELINE CTR FOR CHILD DEVELOPMENT</t>
  </si>
  <si>
    <t>8009 WINCHESTER BLVD</t>
  </si>
  <si>
    <t>Loveena Singh</t>
  </si>
  <si>
    <t>E0341712</t>
  </si>
  <si>
    <t>SINGH LOVEENA</t>
  </si>
  <si>
    <t>Momen</t>
  </si>
  <si>
    <t>(718) 200-0723</t>
  </si>
  <si>
    <t>nmomenl@gmail.com</t>
  </si>
  <si>
    <t>SINGH LOVEENA DR.</t>
  </si>
  <si>
    <t>11220 LIBERTY AVE</t>
  </si>
  <si>
    <t>Mohd Hossain</t>
  </si>
  <si>
    <t>E0309507</t>
  </si>
  <si>
    <t>MOHD A HOSSAIN</t>
  </si>
  <si>
    <t>(718) 200-0724</t>
  </si>
  <si>
    <t>HOSSAIN MOHD</t>
  </si>
  <si>
    <t>333 BROADWAY</t>
  </si>
  <si>
    <t>AMITYVILLE</t>
  </si>
  <si>
    <t>Mohammad Rahman</t>
  </si>
  <si>
    <t>E0034799</t>
  </si>
  <si>
    <t>RAHMAN MOHAMMAD MAZIBUR MD</t>
  </si>
  <si>
    <t>(718) 200-0725</t>
  </si>
  <si>
    <t>RAHMAN MOHAMMAD</t>
  </si>
  <si>
    <t>Faith Mission Crisis Center</t>
  </si>
  <si>
    <t>Renae Tramonte</t>
  </si>
  <si>
    <t>(718) 322-3455</t>
  </si>
  <si>
    <t>renae.tramonte@fmacc.org</t>
  </si>
  <si>
    <t>FAITH MISSION ALCOHOL CRISIS CENTER</t>
  </si>
  <si>
    <t>114-40 VAN WYCK EXPRESSWAY</t>
  </si>
  <si>
    <t>Audrey Weissman</t>
  </si>
  <si>
    <t>E0172653</t>
  </si>
  <si>
    <t>WEISSMAN AUDREY MICHELLE  MD</t>
  </si>
  <si>
    <t>WEISSMAN AUDREY DR.</t>
  </si>
  <si>
    <t>BERNSTEIN MICHAEL DR.</t>
  </si>
  <si>
    <t>E0027524</t>
  </si>
  <si>
    <t>BERNSTEIN MICHAEL</t>
  </si>
  <si>
    <t>BERNSTEIN MICHAEL ALAN</t>
  </si>
  <si>
    <t>10819 ROCKAWAY BLVD</t>
  </si>
  <si>
    <t>NAPOLITANO DANIEL DR.</t>
  </si>
  <si>
    <t>E0311063</t>
  </si>
  <si>
    <t>NAPOLITANO DANIEL LOUIS</t>
  </si>
  <si>
    <t>16 E 16TH ST</t>
  </si>
  <si>
    <t>NAVEH MARCIA DR.</t>
  </si>
  <si>
    <t>E0252340</t>
  </si>
  <si>
    <t>NAVEH MARCIA SPIEGEL       MD</t>
  </si>
  <si>
    <t>NAVEH MARCIA SPIEGEL MD</t>
  </si>
  <si>
    <t>SLR HOSPITAL CTR</t>
  </si>
  <si>
    <t>NEGREA BOGDAN DR.</t>
  </si>
  <si>
    <t>E0112419</t>
  </si>
  <si>
    <t>NEGREA BOGDAN D MD</t>
  </si>
  <si>
    <t>5011 QUEENS BLVD</t>
  </si>
  <si>
    <t>New Franklin Rehabiliation and Healthcare Facility, LLC</t>
  </si>
  <si>
    <t>E0268187</t>
  </si>
  <si>
    <t>FRANKLIN CENTER FOR REH &amp; NRS</t>
  </si>
  <si>
    <t>Derek Murray, Adminsitrator</t>
  </si>
  <si>
    <t>NEW FRANKLIN REHABILIATION AND HEALTH CARE FACILITY, LLC</t>
  </si>
  <si>
    <t>New Horizon Counseling Center, Inc / Case Management Program</t>
  </si>
  <si>
    <t>E0026358</t>
  </si>
  <si>
    <t>NEW HORIZON COUNSELING CTR MH</t>
  </si>
  <si>
    <t>Flora Bienstock</t>
  </si>
  <si>
    <t>NEW HORIZON COUNSELING CENTER</t>
  </si>
  <si>
    <t>THE NEW HORIZON COUNSELING CTR</t>
  </si>
  <si>
    <t>11502 OCEAN PROMENADE</t>
  </si>
  <si>
    <t>ROCKAWAY PARK</t>
  </si>
  <si>
    <t>PETROS JESSICA DR.</t>
  </si>
  <si>
    <t>E0329926</t>
  </si>
  <si>
    <t>PETROS JESSICA THERESA</t>
  </si>
  <si>
    <t>175 REMSEN ST FL 4</t>
  </si>
  <si>
    <t>PHILLIPS ERICA DR.</t>
  </si>
  <si>
    <t>E0061638</t>
  </si>
  <si>
    <t>PHILLIPS ERICA GWENDOLYN MD</t>
  </si>
  <si>
    <t>LONG ISLND CITY</t>
  </si>
  <si>
    <t>PINELES EDWARD DR.</t>
  </si>
  <si>
    <t>E0252995</t>
  </si>
  <si>
    <t>EDWARD PINELES</t>
  </si>
  <si>
    <t>7812 METROPOLITAN AVE STE A</t>
  </si>
  <si>
    <t>PIPIA AMBROSE DR.</t>
  </si>
  <si>
    <t>E0137835</t>
  </si>
  <si>
    <t>PIPIA AMBROSE MD</t>
  </si>
  <si>
    <t>157-06 SANFORD AVE</t>
  </si>
  <si>
    <t>PORIZKOVA ANNA MS.</t>
  </si>
  <si>
    <t>E0076578</t>
  </si>
  <si>
    <t>PORIZKOVA ANNA M</t>
  </si>
  <si>
    <t>PRAT JEREZ MIRIAM</t>
  </si>
  <si>
    <t>PRAT JEREZ MIRIAM MRS.</t>
  </si>
  <si>
    <t>243 SUYDAM ST</t>
  </si>
  <si>
    <t>PRICE LINDSAY</t>
  </si>
  <si>
    <t>E0331091</t>
  </si>
  <si>
    <t>LINDSAY N PRICE</t>
  </si>
  <si>
    <t>PRICE LINDSAY NICOLE</t>
  </si>
  <si>
    <t xml:space="preserve">Public Health Solutions </t>
  </si>
  <si>
    <t>PUNJ SONIA DR.</t>
  </si>
  <si>
    <t>E0030577</t>
  </si>
  <si>
    <t>PUNJ SONIA X</t>
  </si>
  <si>
    <t>PUNJ SONIA MD</t>
  </si>
  <si>
    <t>175-61 HILLSIDE AVENUE-402</t>
  </si>
  <si>
    <t>Queens Boulevard Extended Care Facility</t>
  </si>
  <si>
    <t>E0378632</t>
  </si>
  <si>
    <t>QUEENS BLVD EXTENDED CARE</t>
  </si>
  <si>
    <t>Dr. Jonathan Mawere, LNHA, DPT, MD</t>
  </si>
  <si>
    <t>QUEENS BOULEVARD EXTENDED CARE FACILITY MANAGEMENT LLC</t>
  </si>
  <si>
    <t>QUEENS BLVD EXTENDED CARE FAC MGMT</t>
  </si>
  <si>
    <t>6111 QUEENS BLVD</t>
  </si>
  <si>
    <t>SHAHAB SAIRA DR.</t>
  </si>
  <si>
    <t>E0025829</t>
  </si>
  <si>
    <t>SHAHAB SAIRA KHALID MD</t>
  </si>
  <si>
    <t>918 CORNAGA AVE</t>
  </si>
  <si>
    <t>CHARNOW NOEMI</t>
  </si>
  <si>
    <t>E0301525</t>
  </si>
  <si>
    <t>CHARNOW NOEMI ANNE</t>
  </si>
  <si>
    <t>525 EAST 68TH STREET</t>
  </si>
  <si>
    <t>NYC</t>
  </si>
  <si>
    <t>CHAUDHRY NAEEM DR.</t>
  </si>
  <si>
    <t>E0025349</t>
  </si>
  <si>
    <t>CHAUDHRY NAEEM AKHTER MD</t>
  </si>
  <si>
    <t>13420 JAMAICA AVE</t>
  </si>
  <si>
    <t>CHAWLA JATINDER DR.</t>
  </si>
  <si>
    <t>E0409927</t>
  </si>
  <si>
    <t>CHAWLA JATINDER</t>
  </si>
  <si>
    <t>CHEEMA SOHAIL</t>
  </si>
  <si>
    <t>E0046255</t>
  </si>
  <si>
    <t>CHEEMA SOHAIL IQBAL MD</t>
  </si>
  <si>
    <t>STE M6</t>
  </si>
  <si>
    <t>CHEZ NANCY</t>
  </si>
  <si>
    <t>E0285309</t>
  </si>
  <si>
    <t>NANCY LYNN CHEZ</t>
  </si>
  <si>
    <t>CHEZ NANCY LYNN</t>
  </si>
  <si>
    <t>CHOW GRACE</t>
  </si>
  <si>
    <t>E0041545</t>
  </si>
  <si>
    <t>CHOW GRACE A MD</t>
  </si>
  <si>
    <t>CHRISTOPHE GLADYS</t>
  </si>
  <si>
    <t>E0077036</t>
  </si>
  <si>
    <t>CHU WAI LING KENNIS</t>
  </si>
  <si>
    <t>E0331898</t>
  </si>
  <si>
    <t>762 59TH ST</t>
  </si>
  <si>
    <t>BYRNS DANIEL DR.</t>
  </si>
  <si>
    <t>E0193550</t>
  </si>
  <si>
    <t>BYRNS DANIEL JOHN MD</t>
  </si>
  <si>
    <t>DR WILLIAM BENENSON</t>
  </si>
  <si>
    <t>NALLASIVAM VAMADEVAN DR.</t>
  </si>
  <si>
    <t>E0132476</t>
  </si>
  <si>
    <t>VAMADEVAN NALLASIVAM MD</t>
  </si>
  <si>
    <t>LICH NPA PC PEDS</t>
  </si>
  <si>
    <t>BELAYNEH LULENESH</t>
  </si>
  <si>
    <t>E0061771</t>
  </si>
  <si>
    <t>BELAYNEH LULENESH MD</t>
  </si>
  <si>
    <t>ADELGLASS HOWARD</t>
  </si>
  <si>
    <t>E0214180</t>
  </si>
  <si>
    <t>ADELGLASS HOWARD R         MD</t>
  </si>
  <si>
    <t>ST JOHN'S HOSP</t>
  </si>
  <si>
    <t>ECAL JOSE DR.</t>
  </si>
  <si>
    <t>768 W SIDE AVE</t>
  </si>
  <si>
    <t>JERSEY CITY</t>
  </si>
  <si>
    <t>WHEELER SANDRA</t>
  </si>
  <si>
    <t>E0385224</t>
  </si>
  <si>
    <t>WHEELER SANDRA E</t>
  </si>
  <si>
    <t>23 CANFIELD ST</t>
  </si>
  <si>
    <t>LAMBIASO JULIE</t>
  </si>
  <si>
    <t>MURPHY JULIE</t>
  </si>
  <si>
    <t>516 E NIZHONI BLVD</t>
  </si>
  <si>
    <t>GALLUP</t>
  </si>
  <si>
    <t>NM</t>
  </si>
  <si>
    <t>ALLEN THEODORE</t>
  </si>
  <si>
    <t>E0274362</t>
  </si>
  <si>
    <t>ALLEN THEODORE ELIAS PC    MD</t>
  </si>
  <si>
    <t>24 ROLLING HILL RD</t>
  </si>
  <si>
    <t>OLD WESTBURY</t>
  </si>
  <si>
    <t>AMRAM LAURA</t>
  </si>
  <si>
    <t>E0005200</t>
  </si>
  <si>
    <t>LAURA AMRAM</t>
  </si>
  <si>
    <t>6514 108TH ST</t>
  </si>
  <si>
    <t>AVERESCU MARIE DR.</t>
  </si>
  <si>
    <t>E0301371</t>
  </si>
  <si>
    <t>AVERESCU MARIE JEANNE</t>
  </si>
  <si>
    <t>BARCLAY EMANUEL DR.</t>
  </si>
  <si>
    <t>E0358676</t>
  </si>
  <si>
    <t>BARCLAY EMANUEL J</t>
  </si>
  <si>
    <t>7925 WINCHESTER BLVD # 6B</t>
  </si>
  <si>
    <t>BENGELOUN NOR DR.</t>
  </si>
  <si>
    <t>E0362895</t>
  </si>
  <si>
    <t>BENGELOUN NOR SABAH</t>
  </si>
  <si>
    <t>BLUMENKRANTZ INGRID DR.</t>
  </si>
  <si>
    <t>E0360382</t>
  </si>
  <si>
    <t>BLUMENKRANTZ INGRID M</t>
  </si>
  <si>
    <t>BRODSKY ELLA</t>
  </si>
  <si>
    <t>E0100386</t>
  </si>
  <si>
    <t>BRODSKY ELLA MD</t>
  </si>
  <si>
    <t>1509 CENTRAL AVE</t>
  </si>
  <si>
    <t>CHIRAYIL JOHN</t>
  </si>
  <si>
    <t>E0274705</t>
  </si>
  <si>
    <t>CHIRAYIL JOHN J MD</t>
  </si>
  <si>
    <t>7 MARIETTA DR</t>
  </si>
  <si>
    <t>WESTBURY</t>
  </si>
  <si>
    <t>New Horizon Counseling Center, Inc / Ozone Park Clinic</t>
  </si>
  <si>
    <t>E0230879</t>
  </si>
  <si>
    <t>NEW HORIZON COUNSELING CTR</t>
  </si>
  <si>
    <t>NEW HORIZON COUNSELING CENTER INC</t>
  </si>
  <si>
    <t>NEW HORIZON CL</t>
  </si>
  <si>
    <t>JOSEPH MIRIAM</t>
  </si>
  <si>
    <t>E0319930</t>
  </si>
  <si>
    <t>JOSEPH MIRIAM J</t>
  </si>
  <si>
    <t>KELLY RENEE MS.</t>
  </si>
  <si>
    <t>E0046106</t>
  </si>
  <si>
    <t>KELLY RENEE</t>
  </si>
  <si>
    <t>KELLY RENEE SARAH</t>
  </si>
  <si>
    <t>97  29 64TH ROAD</t>
  </si>
  <si>
    <t>ROUSSEAU MONIQUE DR.</t>
  </si>
  <si>
    <t>E0140955</t>
  </si>
  <si>
    <t>ROUSSEAU MONIQUE J MD</t>
  </si>
  <si>
    <t>2601 OCEAN PKWY</t>
  </si>
  <si>
    <t>SCHLEIMER HELEN DR.</t>
  </si>
  <si>
    <t>E0004693</t>
  </si>
  <si>
    <t>SCHLEIMER HELEN LILLI</t>
  </si>
  <si>
    <t>SHUGAR JULIA DR.</t>
  </si>
  <si>
    <t>E0362788</t>
  </si>
  <si>
    <t>SHUGAR JULIA ANN</t>
  </si>
  <si>
    <t>SIMON GLADYS DR.</t>
  </si>
  <si>
    <t>E0059471</t>
  </si>
  <si>
    <t>SIMON GLADYS</t>
  </si>
  <si>
    <t>SIMON GLADYS ROSE MARIE</t>
  </si>
  <si>
    <t>SHUKLA DINESH</t>
  </si>
  <si>
    <t>E0227618</t>
  </si>
  <si>
    <t>SHUKLA DINESH              MD</t>
  </si>
  <si>
    <t>ST CHARLES HOSPITAL</t>
  </si>
  <si>
    <t>PORT JEFFERSON</t>
  </si>
  <si>
    <t>SORENSEN MARK DR.</t>
  </si>
  <si>
    <t>E0192069</t>
  </si>
  <si>
    <t>SORENSEN MARK F MD</t>
  </si>
  <si>
    <t>SORENSEN MARK F</t>
  </si>
  <si>
    <t>300 W 72ND ST STE 1D</t>
  </si>
  <si>
    <t>TAMBAR BALVIR DR.</t>
  </si>
  <si>
    <t>E0218100</t>
  </si>
  <si>
    <t>TAMBAR BALVIR KRISHAN</t>
  </si>
  <si>
    <t>9730 57TH AVE</t>
  </si>
  <si>
    <t>TAYLOR STUART</t>
  </si>
  <si>
    <t>E0158264</t>
  </si>
  <si>
    <t>TAYLOR STUART WILLIAM MD</t>
  </si>
  <si>
    <t>TAYLOR STUART WILLIAM</t>
  </si>
  <si>
    <t>79-25-WINCHESTER BLVD</t>
  </si>
  <si>
    <t>VUONG CHINH DR.</t>
  </si>
  <si>
    <t>E0160716</t>
  </si>
  <si>
    <t>VUONG CHINH MINH MD</t>
  </si>
  <si>
    <t>CHOROWSKI JASON DR.</t>
  </si>
  <si>
    <t>DEEN RYAN</t>
  </si>
  <si>
    <t>721 W COLONIAL DR</t>
  </si>
  <si>
    <t>ORLANDO</t>
  </si>
  <si>
    <t>DHILLON SWAPNA DR.</t>
  </si>
  <si>
    <t>7925 WINCHESTER BLVD, BUILDING 40 MED ED 2A</t>
  </si>
  <si>
    <t>ANTOINE EWALD</t>
  </si>
  <si>
    <t>E0135544</t>
  </si>
  <si>
    <t>ANTOINE EWALD JONATHAN MD</t>
  </si>
  <si>
    <t>Lakeville Ambulete Transportation, LLC</t>
  </si>
  <si>
    <t>Christopher Lynch</t>
  </si>
  <si>
    <t>(718) 289-2275</t>
  </si>
  <si>
    <t>clynch@parkerinstitute.org</t>
  </si>
  <si>
    <t>Transportation</t>
  </si>
  <si>
    <t>LAKEVILLE AMBULETTE TRANSPORTATION LLC</t>
  </si>
  <si>
    <t>LAN QIUXIA</t>
  </si>
  <si>
    <t>E0027716</t>
  </si>
  <si>
    <t>LAN QIUXIA  MD</t>
  </si>
  <si>
    <t>LAN QIUXIA M</t>
  </si>
  <si>
    <t>4373 UNION ST # ST/1C</t>
  </si>
  <si>
    <t>LANDICHO MARLYN</t>
  </si>
  <si>
    <t>E0385005</t>
  </si>
  <si>
    <t>LANDICHO MARILYN R</t>
  </si>
  <si>
    <t>LANDICHO MARILYN MS.</t>
  </si>
  <si>
    <t>1 PENN PLZ FRNT 7 STE 725</t>
  </si>
  <si>
    <t>LANDMANN KAREN MS.</t>
  </si>
  <si>
    <t>E0023364</t>
  </si>
  <si>
    <t>LANDMANN KAREN</t>
  </si>
  <si>
    <t>521 W 239TH ST</t>
  </si>
  <si>
    <t>QUINDOR RHEALYNNE MISS</t>
  </si>
  <si>
    <t>E0337905</t>
  </si>
  <si>
    <t>QUINDOR RHEALYNNE B</t>
  </si>
  <si>
    <t>RAAGAS EDITA DR.</t>
  </si>
  <si>
    <t>E0215798</t>
  </si>
  <si>
    <t>RAAGAS EDITA M MD</t>
  </si>
  <si>
    <t>MADISON YORK RESDNCE</t>
  </si>
  <si>
    <t>RABBAT AHMED DR.</t>
  </si>
  <si>
    <t>E0153180</t>
  </si>
  <si>
    <t>RABBAT AHMED SALAH E T MD</t>
  </si>
  <si>
    <t>RABBAT AHMED SALAH ELDEEN TAWFIK</t>
  </si>
  <si>
    <t>EMERG DEPT</t>
  </si>
  <si>
    <t>AUNG ZAW DR.</t>
  </si>
  <si>
    <t>E0062417</t>
  </si>
  <si>
    <t>AUNG ZAW MD</t>
  </si>
  <si>
    <t>Dan Muskin</t>
  </si>
  <si>
    <t>(917) 885-2590</t>
  </si>
  <si>
    <t>dmuskin@queenscenter.net</t>
  </si>
  <si>
    <t>SUITE C-1</t>
  </si>
  <si>
    <t>GROSS RONALD DR.</t>
  </si>
  <si>
    <t>E0136594</t>
  </si>
  <si>
    <t>GROSS RONALD L MD</t>
  </si>
  <si>
    <t>S WESTCHESTER MED</t>
  </si>
  <si>
    <t>ABRAMOVICI BERNARD DR.</t>
  </si>
  <si>
    <t>E0203237</t>
  </si>
  <si>
    <t>ABRAMOVICI BERNARD BARBU   MD</t>
  </si>
  <si>
    <t>83 06 VICTOR AVE</t>
  </si>
  <si>
    <t>SOUTH BEACH ADDICTION TRT CTR</t>
  </si>
  <si>
    <t>E0157811</t>
  </si>
  <si>
    <t>Denise DeBratto</t>
  </si>
  <si>
    <t>(718) 667-2776</t>
  </si>
  <si>
    <t>denise.debratto@oasas.ny.gov</t>
  </si>
  <si>
    <t>SOUTH BEACH ADDICTION TREATMENT CENTER</t>
  </si>
  <si>
    <t>SOUTH BEACH PC</t>
  </si>
  <si>
    <t>KARCNIK GREGORY DR.</t>
  </si>
  <si>
    <t>E0046529</t>
  </si>
  <si>
    <t>KARCNIK GREGORY FRANCIS</t>
  </si>
  <si>
    <t>777 SEAVIEW AVE BLDG 3 FL 2</t>
  </si>
  <si>
    <t>PEREVOZNYCHENKO KATERYNA DR.</t>
  </si>
  <si>
    <t>E0001624</t>
  </si>
  <si>
    <t>KATERYNA PEREVOZNYCHENKO MD</t>
  </si>
  <si>
    <t>PEREVOZNYCHENKO KATEYNA MD</t>
  </si>
  <si>
    <t>ANCONA SALVATORE DR.</t>
  </si>
  <si>
    <t>E0192116</t>
  </si>
  <si>
    <t>ANCONA SALVATORE MD</t>
  </si>
  <si>
    <t>2436 E 71ST ST</t>
  </si>
  <si>
    <t>AREVALO CARLOS</t>
  </si>
  <si>
    <t>E0253369</t>
  </si>
  <si>
    <t>AREVALO CARLOS OSCAR       MD</t>
  </si>
  <si>
    <t>NYHMCQ ADULT AMB CAR</t>
  </si>
  <si>
    <t>BREITE MELVIN DR.</t>
  </si>
  <si>
    <t>E0278598</t>
  </si>
  <si>
    <t>BREITE MELVIN J            MD</t>
  </si>
  <si>
    <t>2391 BELL BLVD STE 201</t>
  </si>
  <si>
    <t>CLERISME JOSEPH</t>
  </si>
  <si>
    <t>E0222010</t>
  </si>
  <si>
    <t>CLERISME JOSEPH ROOSEVELT MD</t>
  </si>
  <si>
    <t>COHEN JOSEPH</t>
  </si>
  <si>
    <t>E0313199</t>
  </si>
  <si>
    <t>JOSEPH COHEN</t>
  </si>
  <si>
    <t>6344 SAUNDERS ST</t>
  </si>
  <si>
    <t>COHEN OKSANA</t>
  </si>
  <si>
    <t>E0015317</t>
  </si>
  <si>
    <t>COHEN OKSANA MD</t>
  </si>
  <si>
    <t>920 48TH ST</t>
  </si>
  <si>
    <t>DE LEON RENATO DR.</t>
  </si>
  <si>
    <t>E0368481</t>
  </si>
  <si>
    <t>DELEON RENATO A</t>
  </si>
  <si>
    <t>DE LEON RENATO A</t>
  </si>
  <si>
    <t>DE LOS SANTOS CYNTHIA DR.</t>
  </si>
  <si>
    <t>E0115908</t>
  </si>
  <si>
    <t>DE LOS SANTOS CYNTHIA</t>
  </si>
  <si>
    <t>DE LOS SANTOS CYNTHIA LLAMAS</t>
  </si>
  <si>
    <t>7925 WINCHESTER BLVD FL 12 BLDG 40</t>
  </si>
  <si>
    <t>DESAI SAVITRI</t>
  </si>
  <si>
    <t>E0199265</t>
  </si>
  <si>
    <t>DESAI SAVITRI J            MD</t>
  </si>
  <si>
    <t>DINER ALAN</t>
  </si>
  <si>
    <t>E0138240</t>
  </si>
  <si>
    <t>DINER ALAN E MD</t>
  </si>
  <si>
    <t>213 14 A UNION TPKE</t>
  </si>
  <si>
    <t>DITRANI MICHAEL DR.</t>
  </si>
  <si>
    <t>E0356199</t>
  </si>
  <si>
    <t>DITRANI MICHAEL FRANCIS</t>
  </si>
  <si>
    <t>998 CROOKED HILL RD BLDG 82</t>
  </si>
  <si>
    <t>WEST BRENTWOOD</t>
  </si>
  <si>
    <t>ELSTEIN IRWIN</t>
  </si>
  <si>
    <t>E0175324</t>
  </si>
  <si>
    <t>ELSTEIN IRWIN D MD</t>
  </si>
  <si>
    <t>ESCOVAR IDA DR.</t>
  </si>
  <si>
    <t>E0159765</t>
  </si>
  <si>
    <t>ESCOVAR IDA MARIA</t>
  </si>
  <si>
    <t>FABUNAN MARIA</t>
  </si>
  <si>
    <t>E0369296</t>
  </si>
  <si>
    <t>FABUNAN MARIA RODAH DELA FUENTE</t>
  </si>
  <si>
    <t>8900 VAN WYCK EXPY</t>
  </si>
  <si>
    <t>FATHALLAH-MAMMO AYSAR</t>
  </si>
  <si>
    <t>E0117208</t>
  </si>
  <si>
    <t>FATHALLAH-MAMMO AYSAR B MD</t>
  </si>
  <si>
    <t>555 PROSPECT PL</t>
  </si>
  <si>
    <t>GONZALES MA. LOURDES DR.</t>
  </si>
  <si>
    <t>E0325072</t>
  </si>
  <si>
    <t>GONZALES MA LOURDES CASTILLO</t>
  </si>
  <si>
    <t>94 VILLAGE AVE</t>
  </si>
  <si>
    <t>GRANDI CATERINA</t>
  </si>
  <si>
    <t>E0250394</t>
  </si>
  <si>
    <t>GRANDI CATERINA M          MD</t>
  </si>
  <si>
    <t>GRANDI CATERINA M MD</t>
  </si>
  <si>
    <t>GROSSMAN LISA DR.</t>
  </si>
  <si>
    <t>E0362615</t>
  </si>
  <si>
    <t>GROSSMAN LISA R</t>
  </si>
  <si>
    <t>HAMILTON ROBIN</t>
  </si>
  <si>
    <t>E0191214</t>
  </si>
  <si>
    <t>HAMILTON ROBIN M MD</t>
  </si>
  <si>
    <t>HAMILTON ROBIN MICHAEL</t>
  </si>
  <si>
    <t>HERMANO LOURDES</t>
  </si>
  <si>
    <t>E0245478</t>
  </si>
  <si>
    <t>HERMANO LOURDES            MD</t>
  </si>
  <si>
    <t>7929 WINCHESTER BLVD</t>
  </si>
  <si>
    <t>HUANG XIANCHUN</t>
  </si>
  <si>
    <t>E0363325</t>
  </si>
  <si>
    <t>7925 WINCHESTER BLVD BLDG 40/5A</t>
  </si>
  <si>
    <t>JALWAN AJAY</t>
  </si>
  <si>
    <t>E0358578</t>
  </si>
  <si>
    <t>BERLIN HILARY DR.</t>
  </si>
  <si>
    <t>E0161952</t>
  </si>
  <si>
    <t>BERLIN HILARY B</t>
  </si>
  <si>
    <t>BERMAN AUDREY</t>
  </si>
  <si>
    <t>E0137327</t>
  </si>
  <si>
    <t>BERMAN AUDREY BETH MD</t>
  </si>
  <si>
    <t>GREENE REBECCA</t>
  </si>
  <si>
    <t>E0319925</t>
  </si>
  <si>
    <t>GREENE REBECCA ELIZABETH</t>
  </si>
  <si>
    <t>HAFTEL DEBORAH MRS.</t>
  </si>
  <si>
    <t>E0373255</t>
  </si>
  <si>
    <t>HAFTEL DEBORAH H</t>
  </si>
  <si>
    <t>HAFTEL DEBORAH HOPE</t>
  </si>
  <si>
    <t>KALLOPOULOS PARTHENA</t>
  </si>
  <si>
    <t>E0372161</t>
  </si>
  <si>
    <t>2901 216TH ST STE 207</t>
  </si>
  <si>
    <t>HYACINTHE CYNTHIA MRS.</t>
  </si>
  <si>
    <t>E0376550</t>
  </si>
  <si>
    <t>HYACINTHE CYNTHIA J</t>
  </si>
  <si>
    <t>MAZZA MARIANNE</t>
  </si>
  <si>
    <t>E0370551</t>
  </si>
  <si>
    <t>29-01 216TH ST STE 205</t>
  </si>
  <si>
    <t>BETH ABRAHAM HEALTH SERVICES</t>
  </si>
  <si>
    <t>E0268024</t>
  </si>
  <si>
    <t>612 ALLERTON AVE</t>
  </si>
  <si>
    <t>BILENKIN LEONID</t>
  </si>
  <si>
    <t>E0310454</t>
  </si>
  <si>
    <t>HILLSIDE POLYMEDIC DIAGNOSTIC AND TREATMENT CENTER</t>
  </si>
  <si>
    <t>E0359501</t>
  </si>
  <si>
    <t>HILLSIDE POLYMEDIC D ANT T CTR</t>
  </si>
  <si>
    <t>Violeta Barrett/Bridget Chime</t>
  </si>
  <si>
    <t>(347) 693-1006</t>
  </si>
  <si>
    <t>vbarrett-wright@hotmail.com</t>
  </si>
  <si>
    <t>HILLSIDE POLYMEDIC DIAGNOSTIC &amp; TREATMENT CENTER INC</t>
  </si>
  <si>
    <t>HILLSIDE POLYMEDIC D AND T CTR</t>
  </si>
  <si>
    <t>18730 HILLSIDE AVE</t>
  </si>
  <si>
    <t>HO JAMES</t>
  </si>
  <si>
    <t>E0036672</t>
  </si>
  <si>
    <t>HO JAMES CHUNG MD</t>
  </si>
  <si>
    <t>HO JAMES CHUNG</t>
  </si>
  <si>
    <t>460 W 34TH ST FL 11</t>
  </si>
  <si>
    <t>HOLALKERE RAJAGOPAL DR.</t>
  </si>
  <si>
    <t>E0087101</t>
  </si>
  <si>
    <t>HOLALKERE RAJAGOPAL MD</t>
  </si>
  <si>
    <t>Holliswood Center for Rehabilitation and Healthcare</t>
  </si>
  <si>
    <t>E0359879</t>
  </si>
  <si>
    <t>HOLLISWOOD OPERATING CO LLC</t>
  </si>
  <si>
    <t>HOLLIS OPERATING CO LLC</t>
  </si>
  <si>
    <t>195-44 WOODHULL AVE</t>
  </si>
  <si>
    <t>Homefirst LHCSA, Inc. d/b/a License Home Care Service Agency</t>
  </si>
  <si>
    <t>HOMEFIRST LHCSA INC DBA METROPOLITAN JEWISH LIC. HOME CARE SERV. AGEN</t>
  </si>
  <si>
    <t>6323 7TH AVE</t>
  </si>
  <si>
    <t>CONNOLLY FIONA DR.</t>
  </si>
  <si>
    <t>E0110255</t>
  </si>
  <si>
    <t>CONNOLLY FIONA G DPM</t>
  </si>
  <si>
    <t>CONNOLLY FIONA GERALDINE</t>
  </si>
  <si>
    <t>GAGLIANO DIANA</t>
  </si>
  <si>
    <t>E0283903</t>
  </si>
  <si>
    <t>GO JACOB</t>
  </si>
  <si>
    <t>E0076902</t>
  </si>
  <si>
    <t>GO JACOB T MD</t>
  </si>
  <si>
    <t>LA ROSA ANITA MS.</t>
  </si>
  <si>
    <t>E0298596</t>
  </si>
  <si>
    <t>LA ROSA ANITA</t>
  </si>
  <si>
    <t>18240 HILLSIDE AVE FL 1</t>
  </si>
  <si>
    <t>LACKS GERI MS.</t>
  </si>
  <si>
    <t>E0365321</t>
  </si>
  <si>
    <t>GERI LYDIA MOROH</t>
  </si>
  <si>
    <t>MOROH GERI LYDIA</t>
  </si>
  <si>
    <t>THYPIN ELAINE</t>
  </si>
  <si>
    <t>E0053471</t>
  </si>
  <si>
    <t>LEDERER ELAINE</t>
  </si>
  <si>
    <t>LEDERER ELAINE MS.</t>
  </si>
  <si>
    <t>LEGER ESTHER</t>
  </si>
  <si>
    <t>E0302303</t>
  </si>
  <si>
    <t>LEVENSON DAVIDA</t>
  </si>
  <si>
    <t>E0153448</t>
  </si>
  <si>
    <t>LYSOHIR KATHLEEN</t>
  </si>
  <si>
    <t>E0023602</t>
  </si>
  <si>
    <t>LYSOHIR KATHLEEN ANN</t>
  </si>
  <si>
    <t>MC DERMOTT PATRICIA</t>
  </si>
  <si>
    <t>E0292852</t>
  </si>
  <si>
    <t>MCDERMOTT PATRICIA</t>
  </si>
  <si>
    <t>MICHNOWICH DENA MS.</t>
  </si>
  <si>
    <t>E0346930</t>
  </si>
  <si>
    <t>MICHNOWICH DENA</t>
  </si>
  <si>
    <t>POWERS-SPOERING SUSAN</t>
  </si>
  <si>
    <t>E0376446</t>
  </si>
  <si>
    <t>POWERS-SPOERING SUSAN E</t>
  </si>
  <si>
    <t>ROSENHAFT ANDREA</t>
  </si>
  <si>
    <t>E0284004</t>
  </si>
  <si>
    <t>ROSENHAFT ANDREA R</t>
  </si>
  <si>
    <t>ROSENTHAL AMY</t>
  </si>
  <si>
    <t>E0053322</t>
  </si>
  <si>
    <t>SASAGAWA KAYA</t>
  </si>
  <si>
    <t>E0319126</t>
  </si>
  <si>
    <t>SCHLAFRIG EDITH MS.</t>
  </si>
  <si>
    <t>E0324052</t>
  </si>
  <si>
    <t>SCHLAFRIG EDITH CYPORA LCSW</t>
  </si>
  <si>
    <t>SCHWARTE SHANTIE MS.</t>
  </si>
  <si>
    <t>E0298491</t>
  </si>
  <si>
    <t>DOOKHOO SHANTIE</t>
  </si>
  <si>
    <t>SCHWARTE SHANTIE P</t>
  </si>
  <si>
    <t>7612 270TH ST</t>
  </si>
  <si>
    <t>SILVER CHERYL</t>
  </si>
  <si>
    <t>E0314119</t>
  </si>
  <si>
    <t>SILVER CHERYL B</t>
  </si>
  <si>
    <t>SMALL MARLENE</t>
  </si>
  <si>
    <t>E0053257</t>
  </si>
  <si>
    <t>SMALL MARLENE S</t>
  </si>
  <si>
    <t>SMIKLE MARLENE</t>
  </si>
  <si>
    <t>E0053260</t>
  </si>
  <si>
    <t>Certificate for Comprehensive Commnuity of Hospice Parker Jewish Institute</t>
  </si>
  <si>
    <t>E0113513</t>
  </si>
  <si>
    <t>COMPREHENSIVE COM HOSPICE PJI</t>
  </si>
  <si>
    <t>PARKER JEWISH INSTITUTE FOR HEALTH CARE AND REHABILITAITON</t>
  </si>
  <si>
    <t>CHAN YORK SING DR.</t>
  </si>
  <si>
    <t>E0368463</t>
  </si>
  <si>
    <t>CHAN YORK SING</t>
  </si>
  <si>
    <t>86 BOWERY FL 3</t>
  </si>
  <si>
    <t>JEAN-BART ROBERT</t>
  </si>
  <si>
    <t>E0139135</t>
  </si>
  <si>
    <t>JEAN-BART ROBERT Y MD</t>
  </si>
  <si>
    <t>464 9TH ST</t>
  </si>
  <si>
    <t>KHALDAROV ULYANA</t>
  </si>
  <si>
    <t>E0287992</t>
  </si>
  <si>
    <t>ULYANA KHALDAROV MD</t>
  </si>
  <si>
    <t>KHALDAROV ULYANA MD</t>
  </si>
  <si>
    <t>170-18 76TH AVE</t>
  </si>
  <si>
    <t>MARCELO GEMMA</t>
  </si>
  <si>
    <t>E0227631</t>
  </si>
  <si>
    <t>MARCELO GEMMA A</t>
  </si>
  <si>
    <t>8045 WINCHESTER BLVD BLDG 73 FL 2</t>
  </si>
  <si>
    <t>PARIKH SHOBHANA</t>
  </si>
  <si>
    <t>E0195563</t>
  </si>
  <si>
    <t>PARIKH SHOBHANA MITESH     MD</t>
  </si>
  <si>
    <t>7925 WINCHESTER BLVD BLDG 73 FL 2</t>
  </si>
  <si>
    <t>PAYA SHAGUFTA DR.</t>
  </si>
  <si>
    <t>E0016983</t>
  </si>
  <si>
    <t>PAYA SHAGUPTA MD</t>
  </si>
  <si>
    <t>8900 VAN WYCK EXPRES</t>
  </si>
  <si>
    <t>RAJPUT ASHOK DR.</t>
  </si>
  <si>
    <t>E0206854</t>
  </si>
  <si>
    <t>RAJPUT ASHOK KUMAR         MD</t>
  </si>
  <si>
    <t>19544 WOODHULL AVE</t>
  </si>
  <si>
    <t>RECON-BUCEVIC MYRA DR.</t>
  </si>
  <si>
    <t>E0025547</t>
  </si>
  <si>
    <t>RECON-BUCEVIC MYRA</t>
  </si>
  <si>
    <t>RECON-BUCEVIC MYRA C MD</t>
  </si>
  <si>
    <t>HOROWITZ SCOTT DR.</t>
  </si>
  <si>
    <t>E0024860</t>
  </si>
  <si>
    <t>HOROWITZ SCOTT ALAN MD</t>
  </si>
  <si>
    <t>994 W JERICHO TPKE</t>
  </si>
  <si>
    <t>SMITHTOWN</t>
  </si>
  <si>
    <t>Hospice of New York, LLC</t>
  </si>
  <si>
    <t>E0120826</t>
  </si>
  <si>
    <t>HOSPICE OF NEW YORK LLC</t>
  </si>
  <si>
    <t>John Diaz-Chermack, Assistant Administrator and Compliance officer</t>
  </si>
  <si>
    <t>HOSPICE OF NEW YORK, LLC</t>
  </si>
  <si>
    <t>HURTADO HILLARY DR.</t>
  </si>
  <si>
    <t>E0194477</t>
  </si>
  <si>
    <t>HURTADO HILLARY JOHN       MD</t>
  </si>
  <si>
    <t>HURTADO HILLARY JOHN</t>
  </si>
  <si>
    <t>PENINSULA HSP CTR</t>
  </si>
  <si>
    <t>IANNACONE RONALD DR.</t>
  </si>
  <si>
    <t>E0197857</t>
  </si>
  <si>
    <t>IANNACONE RONALD F DPM</t>
  </si>
  <si>
    <t>6910 AVE U SUITE LA</t>
  </si>
  <si>
    <t>IM MIOK</t>
  </si>
  <si>
    <t>E0362899</t>
  </si>
  <si>
    <t>IQBAL AZMAT DR.</t>
  </si>
  <si>
    <t>E0204400</t>
  </si>
  <si>
    <t>IQBAL AZMAT MD</t>
  </si>
  <si>
    <t>4543 43RD ST</t>
  </si>
  <si>
    <t>ISAACS-CHARLES KAREN DR.</t>
  </si>
  <si>
    <t>E0020100</t>
  </si>
  <si>
    <t>ISAACS-CHARLES KAREN ANN MD</t>
  </si>
  <si>
    <t>111 ORBACH AVE</t>
  </si>
  <si>
    <t>MALVERNE</t>
  </si>
  <si>
    <t>ISAKOV ISAK</t>
  </si>
  <si>
    <t>E0081637</t>
  </si>
  <si>
    <t>ISAK ISAKOV MEDICAL PC</t>
  </si>
  <si>
    <t>JAMAICA PSYCH SVCS</t>
  </si>
  <si>
    <t>ISRAEL IGOR</t>
  </si>
  <si>
    <t>E0082856</t>
  </si>
  <si>
    <t>ISRAEL IGOR MD</t>
  </si>
  <si>
    <t>MAHLER HOWARD</t>
  </si>
  <si>
    <t>E0115940</t>
  </si>
  <si>
    <t>MAHLER HOWARD MD</t>
  </si>
  <si>
    <t>RUSSO DANIEL</t>
  </si>
  <si>
    <t>E0106348</t>
  </si>
  <si>
    <t>RUSSO DANIEL JOSEPH MD</t>
  </si>
  <si>
    <t>48 CEDAR ST</t>
  </si>
  <si>
    <t>SACCENTE ERICA</t>
  </si>
  <si>
    <t>E0331532</t>
  </si>
  <si>
    <t>SADHWANI SHANKAR DR.</t>
  </si>
  <si>
    <t>E0121376</t>
  </si>
  <si>
    <t>SADHWANI SHANKAR MD</t>
  </si>
  <si>
    <t>SADHWANI SHANKAR</t>
  </si>
  <si>
    <t>SAMRA ELIAHU DR.</t>
  </si>
  <si>
    <t>E0171641</t>
  </si>
  <si>
    <t>SAMRA ELIAHU MD</t>
  </si>
  <si>
    <t>STE 1501</t>
  </si>
  <si>
    <t>SAN MYAT DR.</t>
  </si>
  <si>
    <t>E0107474</t>
  </si>
  <si>
    <t>SAN MYAT MD</t>
  </si>
  <si>
    <t>SANCHEZ TIFFANY MS.</t>
  </si>
  <si>
    <t>E0349090</t>
  </si>
  <si>
    <t>SANCHEZ TIFFANY</t>
  </si>
  <si>
    <t>SANCHEZ TIFFANY SHANNON</t>
  </si>
  <si>
    <t>SANDOVAL ERICA</t>
  </si>
  <si>
    <t>SANTIAGO ARAMIS DR.</t>
  </si>
  <si>
    <t>E0084144</t>
  </si>
  <si>
    <t>SANTIAGO ARAMIS E MD</t>
  </si>
  <si>
    <t>79 E 79TH ST</t>
  </si>
  <si>
    <t>SARFRAZ MUHAMMAD DR.</t>
  </si>
  <si>
    <t>E0292486</t>
  </si>
  <si>
    <t>SARFRAZ MUHAMMAD MD</t>
  </si>
  <si>
    <t>1746 E 53RD ST</t>
  </si>
  <si>
    <t>Americare, Inc.</t>
  </si>
  <si>
    <t>Briget Gallagher</t>
  </si>
  <si>
    <t>(718) 434-5100</t>
  </si>
  <si>
    <t>BGallagher@americareny.com</t>
  </si>
  <si>
    <t>AMERICARE, INC.</t>
  </si>
  <si>
    <t>2255 COLEMAN ST</t>
  </si>
  <si>
    <t>Medpack</t>
  </si>
  <si>
    <t>E0428709</t>
  </si>
  <si>
    <t>MEDPACK LLC</t>
  </si>
  <si>
    <t>Israel Grunwald</t>
  </si>
  <si>
    <t>(347) 506-1000</t>
  </si>
  <si>
    <t>IG@medpackrx.com</t>
  </si>
  <si>
    <t>Iwona Mienko MD</t>
  </si>
  <si>
    <t>E0089506</t>
  </si>
  <si>
    <t>MIENKO IWONA KATARZYNA</t>
  </si>
  <si>
    <t>Joanna Oldakowska</t>
  </si>
  <si>
    <t>(718) 497-1565</t>
  </si>
  <si>
    <t>myoffice@mienkomd.com</t>
  </si>
  <si>
    <t>MIENKO IWONA</t>
  </si>
  <si>
    <t>6412 FRESH POND RD</t>
  </si>
  <si>
    <t>IPC Healthcare</t>
  </si>
  <si>
    <t>E0369760</t>
  </si>
  <si>
    <t>INPATIENT HOSPITALIST SERVICES OF N</t>
  </si>
  <si>
    <t>HOSPITALIST HEALTHCARE SERVICES PLLC</t>
  </si>
  <si>
    <t>211 E 79TH ST</t>
  </si>
  <si>
    <t>MULTI-TYPE GROUP</t>
  </si>
  <si>
    <t>The Child Center of NY, Inc.</t>
  </si>
  <si>
    <t>E0273986</t>
  </si>
  <si>
    <t>CHILD CENTER OF NY, THE</t>
  </si>
  <si>
    <t>Traci Donnelly</t>
  </si>
  <si>
    <t>(718) 651-7770</t>
  </si>
  <si>
    <t>tracidonnelly@childcenterny.org</t>
  </si>
  <si>
    <t>THE CHILD CENTER OF NY, INC.</t>
  </si>
  <si>
    <t>THE CHILD CENTER OF NY, INC</t>
  </si>
  <si>
    <t>JAMAICA CL</t>
  </si>
  <si>
    <t>Sunharbor Acquistion I, LLC d/b/a Sunharbor Manor</t>
  </si>
  <si>
    <t>E0268134</t>
  </si>
  <si>
    <t>SUNHARBOR MANOR           INC</t>
  </si>
  <si>
    <t>Elliot Aryeh</t>
  </si>
  <si>
    <t>(516) 621-5400</t>
  </si>
  <si>
    <t>earyeh@sunharbormanor.com</t>
  </si>
  <si>
    <t>SUNHARBOR ACQUISITION I , LLC</t>
  </si>
  <si>
    <t>255 WARNER AVE</t>
  </si>
  <si>
    <t>ROSLYN HTS</t>
  </si>
  <si>
    <t>NYP/Q Ambulatory Care Center</t>
  </si>
  <si>
    <t>Malika Maddison</t>
  </si>
  <si>
    <t>(718) 670-2630</t>
  </si>
  <si>
    <t>mam2136@nyp.org</t>
  </si>
  <si>
    <t>NEW YORK-PRESBYTERIAN-QUEENS</t>
  </si>
  <si>
    <t>OZANAM HALL OF QUEENS NURSING HOME, INC</t>
  </si>
  <si>
    <t>E0268125</t>
  </si>
  <si>
    <t>OZANAM HALL OF QUEENS NH</t>
  </si>
  <si>
    <t>OZANAM HALL OF QUEENS NH INC</t>
  </si>
  <si>
    <t>SHIRWAIKAR ANIL DR.</t>
  </si>
  <si>
    <t>E0226172</t>
  </si>
  <si>
    <t>SHIRWAIKAR ANIL B          MD</t>
  </si>
  <si>
    <t>SHIRWAIKAR ANIL BALKRISHN</t>
  </si>
  <si>
    <t>9011 35TH AVE</t>
  </si>
  <si>
    <t>COHN HOWARD DR.</t>
  </si>
  <si>
    <t>E0132430</t>
  </si>
  <si>
    <t>COHN HOWARD IRWIN</t>
  </si>
  <si>
    <t>COHN HOWARD IRWIN MD</t>
  </si>
  <si>
    <t>26001 79TH AVE</t>
  </si>
  <si>
    <t>DEPETRIS GUSTAVO DR.</t>
  </si>
  <si>
    <t>E0136961</t>
  </si>
  <si>
    <t>DEPETRIS GUSTAVO RAUL MD</t>
  </si>
  <si>
    <t>2322 30TH AVE</t>
  </si>
  <si>
    <t>FAKHURI RAMSEY</t>
  </si>
  <si>
    <t>E0158916</t>
  </si>
  <si>
    <t>FAKHURI RAMSEY JOHN</t>
  </si>
  <si>
    <t>4415 43RD AVE APT C1</t>
  </si>
  <si>
    <t>STAUBER STUART DR.</t>
  </si>
  <si>
    <t>E0223748</t>
  </si>
  <si>
    <t>STAUBER STUART L           MD</t>
  </si>
  <si>
    <t>ZOUBTSOVA MINZALIA</t>
  </si>
  <si>
    <t>E0021758</t>
  </si>
  <si>
    <t>ZOUBTSOVA MINZALIA MD</t>
  </si>
  <si>
    <t>215 ROCKAWAY TPKE</t>
  </si>
  <si>
    <t>ACKERMAN DAVID MR.</t>
  </si>
  <si>
    <t>E0365701</t>
  </si>
  <si>
    <t>ACKERMAN DAVID CHARLES</t>
  </si>
  <si>
    <t>AMATENSTEIN SHERRY</t>
  </si>
  <si>
    <t>E0365706</t>
  </si>
  <si>
    <t>AMATENSTEIN SHERRY ANN</t>
  </si>
  <si>
    <t>Mental Health Providers of Western Queens, Inc (Western Queens Consultation Center Satellite)</t>
  </si>
  <si>
    <t>MENTAL HEALTH PROVIDERS OF WESTERN QUEENS, INC.</t>
  </si>
  <si>
    <t>44-04 QUEENS BLVD</t>
  </si>
  <si>
    <t>Diana Hope MD</t>
  </si>
  <si>
    <t>E0341398</t>
  </si>
  <si>
    <t>HOPE DIANE YVETTE</t>
  </si>
  <si>
    <t xml:space="preserve">Stephen Williams </t>
  </si>
  <si>
    <t>stwilliams@brightpointhealth.org</t>
  </si>
  <si>
    <t>HOPE DIANA</t>
  </si>
  <si>
    <t>ZAVOLUNOVA ELLA MD</t>
  </si>
  <si>
    <t>E0026975</t>
  </si>
  <si>
    <t>ZAVOLUNOVA ELLA  MD</t>
  </si>
  <si>
    <t>(718) 424-2332</t>
  </si>
  <si>
    <t>ZAVOLUNOVA ELLA DR.</t>
  </si>
  <si>
    <t>ZAVOLUNOVA ELLA</t>
  </si>
  <si>
    <t>10525 64TH AVE APT 1F</t>
  </si>
  <si>
    <t xml:space="preserve">GONZALEZ PEDRO MD </t>
  </si>
  <si>
    <t>E0382652</t>
  </si>
  <si>
    <t>GONZALEZ PEDRO</t>
  </si>
  <si>
    <t xml:space="preserve">DAVID GROSS </t>
  </si>
  <si>
    <t>(212) 545-6232</t>
  </si>
  <si>
    <t>dgross@chnnyc.org</t>
  </si>
  <si>
    <t>GONZALEZ-MORALES PEDRO DR.</t>
  </si>
  <si>
    <t>GONZALEZ PEDRO LUIS</t>
  </si>
  <si>
    <t>Maria Thompson MD</t>
  </si>
  <si>
    <t>E0360302</t>
  </si>
  <si>
    <t>THOMPSON MARIA B</t>
  </si>
  <si>
    <t>THOMPSON MARIA MISS</t>
  </si>
  <si>
    <t>NEW YORK PRESBYTERIAN HOSPITAL 525 EAST</t>
  </si>
  <si>
    <t>Robert Grabowski MD</t>
  </si>
  <si>
    <t>E0424362</t>
  </si>
  <si>
    <t>GRABOWSKI ROBERT</t>
  </si>
  <si>
    <t>MADISON YORK ASSISTED LIVING COMMUNITY LLC</t>
  </si>
  <si>
    <t>ELDERPLAN, INC</t>
  </si>
  <si>
    <t>ORTIZ CARLOS  MD</t>
  </si>
  <si>
    <t>E0166267</t>
  </si>
  <si>
    <t>ORTIZ CARLOS A JR MD</t>
  </si>
  <si>
    <t>Carlos Ortiz</t>
  </si>
  <si>
    <t>cortizjroffice@gmail.com</t>
  </si>
  <si>
    <t>ORTIZ CARLOS DR.</t>
  </si>
  <si>
    <t>FLUSHING HOSPITAL</t>
  </si>
  <si>
    <t>Missing Contact Phone</t>
  </si>
  <si>
    <t>FAIRVIEW NURSING CARE CENTER INC</t>
  </si>
  <si>
    <t>1444 E 99TH ST</t>
  </si>
  <si>
    <t>GOODMAN DEBRA MD</t>
  </si>
  <si>
    <t>E0412766</t>
  </si>
  <si>
    <t>GOODMAN DEBRA</t>
  </si>
  <si>
    <t>Jabbar HADI MD</t>
  </si>
  <si>
    <t>E0223165</t>
  </si>
  <si>
    <t>JABBAR HADI M MD</t>
  </si>
  <si>
    <t>Haddi Jabbar</t>
  </si>
  <si>
    <t>hmj9001@nyp.org</t>
  </si>
  <si>
    <t>JABBAR HADI</t>
  </si>
  <si>
    <t>4035 95TH ST</t>
  </si>
  <si>
    <t>CARD ANDREA MD</t>
  </si>
  <si>
    <t>E0017020</t>
  </si>
  <si>
    <t>CARD ANDREA DIONE MD</t>
  </si>
  <si>
    <t>CARD ANDREA DR.</t>
  </si>
  <si>
    <t>622 W 168TH ST</t>
  </si>
  <si>
    <t>HARRIS MILES MD</t>
  </si>
  <si>
    <t>E0419143</t>
  </si>
  <si>
    <t>HARRIS MILES</t>
  </si>
  <si>
    <t>HARRIS MILES STETZ</t>
  </si>
  <si>
    <t xml:space="preserve">TUNG JUDY MD </t>
  </si>
  <si>
    <t>E0084889</t>
  </si>
  <si>
    <t>TUNG JUDY MD</t>
  </si>
  <si>
    <t>TUNG JUDY</t>
  </si>
  <si>
    <t># HT-4</t>
  </si>
  <si>
    <t>ROUND CAROLINE MD</t>
  </si>
  <si>
    <t>E0412755</t>
  </si>
  <si>
    <t>ROUND CAROLINE</t>
  </si>
  <si>
    <t>ROUND CAROLINE LEIGH</t>
  </si>
  <si>
    <t xml:space="preserve">UCHE LOVETA MD </t>
  </si>
  <si>
    <t>E0424904</t>
  </si>
  <si>
    <t>UCHE LOVETA</t>
  </si>
  <si>
    <t xml:space="preserve">ROACH KEITH MD </t>
  </si>
  <si>
    <t>E0086614</t>
  </si>
  <si>
    <t>ROACH KEITH MD</t>
  </si>
  <si>
    <t>ROACH KEITH</t>
  </si>
  <si>
    <t>505 E 70TH ST</t>
  </si>
  <si>
    <t>AGEWELL NEW YORK, LLC</t>
  </si>
  <si>
    <t>ELM YORK DBA ELM YORK ALP</t>
  </si>
  <si>
    <t>100-30 DITMARS BLVD</t>
  </si>
  <si>
    <t>Community Based Organization</t>
  </si>
  <si>
    <t>PPS Funds Flow Summary by Partner Type - DY3, Q1 (IPP Module 1.4 and Module 1.10)</t>
  </si>
  <si>
    <t>1396732921</t>
  </si>
  <si>
    <t>1508069360</t>
  </si>
  <si>
    <t>1346249216</t>
  </si>
  <si>
    <t>1801827076</t>
  </si>
  <si>
    <t>1396825543</t>
  </si>
  <si>
    <t>1851467369</t>
  </si>
  <si>
    <t>1083837157</t>
  </si>
  <si>
    <t>1467452946</t>
  </si>
  <si>
    <t>1699978452</t>
  </si>
  <si>
    <t>1306918685</t>
  </si>
  <si>
    <t>1407849490</t>
  </si>
  <si>
    <t>1710050554</t>
  </si>
  <si>
    <t>1730248246</t>
  </si>
  <si>
    <t>1780661785</t>
  </si>
  <si>
    <t>1235174541</t>
  </si>
  <si>
    <t>1467433664</t>
  </si>
  <si>
    <t>1932215209</t>
  </si>
  <si>
    <t>1285792960</t>
  </si>
  <si>
    <t>1366424350</t>
  </si>
  <si>
    <t>1811072929</t>
  </si>
  <si>
    <t>1366782534</t>
  </si>
  <si>
    <t>1194733642</t>
  </si>
  <si>
    <t>1346304292</t>
  </si>
  <si>
    <t>1730182254</t>
  </si>
  <si>
    <t>1972926681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</si>
</sst>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3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ill="1"/>
    <xf numFmtId="44" fontId="0" fillId="0" borderId="0" xfId="0" applyNumberFormat="1" applyFill="1"/>
    <xf numFmtId="4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ber/Desktop/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5" sqref="C5"/>
    </sheetView>
  </sheetViews>
  <sheetFormatPr defaultRowHeight="15" x14ac:dyDescent="0.25"/>
  <cols>
    <col min="1" max="1" width="50.28515625" bestFit="1" customWidth="1"/>
    <col min="2" max="2" width="1.28515625" customWidth="1"/>
    <col min="3" max="4" width="13.42578125" customWidth="1"/>
    <col min="5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4197</v>
      </c>
    </row>
    <row r="3" spans="1:9" x14ac:dyDescent="0.25">
      <c r="A3" s="26" t="s">
        <v>0</v>
      </c>
      <c r="B3" s="8"/>
      <c r="C3" s="25" t="s">
        <v>1</v>
      </c>
      <c r="D3" s="25"/>
      <c r="E3" s="25"/>
      <c r="F3" s="25"/>
      <c r="G3" s="25"/>
      <c r="H3" s="25"/>
      <c r="I3" s="25"/>
    </row>
    <row r="4" spans="1:9" ht="60" x14ac:dyDescent="0.25">
      <c r="A4" s="26"/>
      <c r="B4" s="8"/>
      <c r="C4" s="20" t="s">
        <v>2</v>
      </c>
      <c r="D4" s="20" t="s">
        <v>3</v>
      </c>
      <c r="E4" s="20" t="s">
        <v>4</v>
      </c>
      <c r="F4" s="8"/>
      <c r="G4" s="20" t="s">
        <v>5</v>
      </c>
      <c r="H4" s="20" t="s">
        <v>6</v>
      </c>
      <c r="I4" s="20" t="s">
        <v>7</v>
      </c>
    </row>
    <row r="5" spans="1:9" x14ac:dyDescent="0.25">
      <c r="A5" s="2" t="s">
        <v>8</v>
      </c>
      <c r="B5" s="8"/>
      <c r="C5" s="4">
        <f>'Funds Flow - Partner Detail'!H14</f>
        <v>0</v>
      </c>
      <c r="D5" s="4">
        <f>'Funds Flow - Partner Detail'!I14</f>
        <v>0</v>
      </c>
      <c r="E5" s="4">
        <f>'Funds Flow - Partner Detail'!J14</f>
        <v>126195.85999999999</v>
      </c>
      <c r="F5" s="8"/>
      <c r="G5" s="5">
        <f t="shared" ref="G5:G23" si="0">IF(C5&gt;0,C5/$C$24,0)</f>
        <v>0</v>
      </c>
      <c r="H5" s="5">
        <f t="shared" ref="H5:H23" si="1">IF(D5&gt;0,D5/$D$24,0)</f>
        <v>0</v>
      </c>
      <c r="I5" s="5">
        <f t="shared" ref="I5:I23" si="2">IF(E5&gt;0,E5/$E$24,0)</f>
        <v>5.486831557045227E-2</v>
      </c>
    </row>
    <row r="6" spans="1:9" x14ac:dyDescent="0.25">
      <c r="A6" s="2" t="s">
        <v>9</v>
      </c>
      <c r="B6" s="8"/>
      <c r="C6" s="4">
        <f>'Funds Flow - Partner Detail'!H22</f>
        <v>0</v>
      </c>
      <c r="D6" s="4">
        <f>'Funds Flow - Partner Detail'!I22</f>
        <v>0</v>
      </c>
      <c r="E6" s="4">
        <f>'Funds Flow - Partner Detail'!J22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10</v>
      </c>
      <c r="B7" s="8"/>
      <c r="C7" s="4">
        <f>'Funds Flow - Partner Detail'!H30</f>
        <v>0</v>
      </c>
      <c r="D7" s="4">
        <f>'Funds Flow - Partner Detail'!I30</f>
        <v>0</v>
      </c>
      <c r="E7" s="4">
        <f>'Funds Flow - Partner Detail'!J30</f>
        <v>982426</v>
      </c>
      <c r="F7" s="8"/>
      <c r="G7" s="5">
        <f t="shared" si="0"/>
        <v>0</v>
      </c>
      <c r="H7" s="5">
        <f t="shared" si="1"/>
        <v>0</v>
      </c>
      <c r="I7" s="5">
        <f t="shared" si="2"/>
        <v>0.42714602359076714</v>
      </c>
    </row>
    <row r="8" spans="1:9" x14ac:dyDescent="0.25">
      <c r="A8" s="2" t="s">
        <v>11</v>
      </c>
      <c r="B8" s="8"/>
      <c r="C8" s="4">
        <f>'Funds Flow - Partner Detail'!H38</f>
        <v>0</v>
      </c>
      <c r="D8" s="4">
        <f>'Funds Flow - Partner Detail'!I38</f>
        <v>0</v>
      </c>
      <c r="E8" s="4">
        <f>'Funds Flow - Partner Detail'!J38</f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12</v>
      </c>
      <c r="B9" s="8"/>
      <c r="C9" s="4">
        <f>'Funds Flow - Partner Detail'!H46</f>
        <v>0</v>
      </c>
      <c r="D9" s="4">
        <f>'Funds Flow - Partner Detail'!I46</f>
        <v>0</v>
      </c>
      <c r="E9" s="4">
        <f>'Funds Flow - Partner Detail'!J46</f>
        <v>154844.20000000001</v>
      </c>
      <c r="F9" s="8"/>
      <c r="G9" s="5">
        <f t="shared" si="0"/>
        <v>0</v>
      </c>
      <c r="H9" s="5">
        <f t="shared" si="1"/>
        <v>0</v>
      </c>
      <c r="I9" s="5">
        <f t="shared" si="2"/>
        <v>6.7324240508795027E-2</v>
      </c>
    </row>
    <row r="10" spans="1:9" x14ac:dyDescent="0.25">
      <c r="A10" s="2" t="s">
        <v>13</v>
      </c>
      <c r="B10" s="8"/>
      <c r="C10" s="4">
        <f>'Funds Flow - Partner Detail'!H54</f>
        <v>0</v>
      </c>
      <c r="D10" s="4">
        <f>'Funds Flow - Partner Detail'!I54</f>
        <v>0</v>
      </c>
      <c r="E10" s="4">
        <f>'Funds Flow - Partner Detail'!J54</f>
        <v>0</v>
      </c>
      <c r="F10" s="8"/>
      <c r="G10" s="5">
        <f t="shared" si="0"/>
        <v>0</v>
      </c>
      <c r="H10" s="5">
        <f t="shared" si="1"/>
        <v>0</v>
      </c>
      <c r="I10" s="5">
        <f t="shared" si="2"/>
        <v>0</v>
      </c>
    </row>
    <row r="11" spans="1:9" x14ac:dyDescent="0.25">
      <c r="A11" s="2" t="s">
        <v>14</v>
      </c>
      <c r="B11" s="8"/>
      <c r="C11" s="4">
        <f>'Funds Flow - Partner Detail'!H62</f>
        <v>0</v>
      </c>
      <c r="D11" s="4">
        <f>'Funds Flow - Partner Detail'!I62</f>
        <v>0</v>
      </c>
      <c r="E11" s="4">
        <f>'Funds Flow - Partner Detail'!J62</f>
        <v>40821.74</v>
      </c>
      <c r="F11" s="8"/>
      <c r="G11" s="5">
        <f t="shared" si="0"/>
        <v>0</v>
      </c>
      <c r="H11" s="5">
        <f t="shared" si="1"/>
        <v>0</v>
      </c>
      <c r="I11" s="5">
        <f t="shared" si="2"/>
        <v>1.7748760636481689E-2</v>
      </c>
    </row>
    <row r="12" spans="1:9" x14ac:dyDescent="0.25">
      <c r="A12" s="2" t="s">
        <v>15</v>
      </c>
      <c r="B12" s="8"/>
      <c r="C12" s="4">
        <f>'Funds Flow - Partner Detail'!H70</f>
        <v>0</v>
      </c>
      <c r="D12" s="4">
        <f>'Funds Flow - Partner Detail'!I70</f>
        <v>0</v>
      </c>
      <c r="E12" s="4">
        <f>'Funds Flow - Partner Detail'!J70</f>
        <v>209496.67</v>
      </c>
      <c r="F12" s="8"/>
      <c r="G12" s="5">
        <f t="shared" si="0"/>
        <v>0</v>
      </c>
      <c r="H12" s="5">
        <f t="shared" si="1"/>
        <v>0</v>
      </c>
      <c r="I12" s="5">
        <f t="shared" si="2"/>
        <v>9.1086422332070968E-2</v>
      </c>
    </row>
    <row r="13" spans="1:9" x14ac:dyDescent="0.25">
      <c r="A13" s="2" t="s">
        <v>16</v>
      </c>
      <c r="B13" s="8"/>
      <c r="C13" s="4">
        <f>'Funds Flow - Partner Detail'!H78</f>
        <v>0</v>
      </c>
      <c r="D13" s="4">
        <f>'Funds Flow - Partner Detail'!I78</f>
        <v>0</v>
      </c>
      <c r="E13" s="4">
        <f>'Funds Flow - Partner Detail'!J78</f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17</v>
      </c>
      <c r="B14" s="8"/>
      <c r="C14" s="4">
        <f>'Funds Flow - Partner Detail'!H86</f>
        <v>0</v>
      </c>
      <c r="D14" s="4">
        <f>'Funds Flow - Partner Detail'!I86</f>
        <v>0</v>
      </c>
      <c r="E14" s="4">
        <f>'Funds Flow - Partner Detail'!J86</f>
        <v>81643.48</v>
      </c>
      <c r="F14" s="8"/>
      <c r="G14" s="5">
        <f t="shared" si="0"/>
        <v>0</v>
      </c>
      <c r="H14" s="5">
        <f t="shared" si="1"/>
        <v>0</v>
      </c>
      <c r="I14" s="5">
        <f t="shared" si="2"/>
        <v>3.5497521272963378E-2</v>
      </c>
    </row>
    <row r="15" spans="1:9" x14ac:dyDescent="0.25">
      <c r="A15" s="2" t="s">
        <v>18</v>
      </c>
      <c r="B15" s="8"/>
      <c r="C15" s="4">
        <f>'Funds Flow - Partner Detail'!H118</f>
        <v>0</v>
      </c>
      <c r="D15" s="4">
        <f>'Funds Flow - Partner Detail'!I118</f>
        <v>0</v>
      </c>
      <c r="E15" s="4">
        <f>'Funds Flow - Partner Detail'!J118</f>
        <v>336726.68999999994</v>
      </c>
      <c r="F15" s="8"/>
      <c r="G15" s="5">
        <f t="shared" si="0"/>
        <v>0</v>
      </c>
      <c r="H15" s="5">
        <f t="shared" si="1"/>
        <v>0</v>
      </c>
      <c r="I15" s="5">
        <f t="shared" si="2"/>
        <v>0.14640437719520952</v>
      </c>
    </row>
    <row r="16" spans="1:9" x14ac:dyDescent="0.25">
      <c r="A16" s="2" t="s">
        <v>19</v>
      </c>
      <c r="B16" s="8"/>
      <c r="C16" s="4">
        <f>'Funds Flow - Partner Detail'!H126</f>
        <v>0</v>
      </c>
      <c r="D16" s="4">
        <f>'Funds Flow - Partner Detail'!I126</f>
        <v>0</v>
      </c>
      <c r="E16" s="4">
        <f>'Funds Flow - Partner Detail'!J126</f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20</v>
      </c>
      <c r="B17" s="8"/>
      <c r="C17" s="4">
        <f>'Funds Flow - Partner Detail'!H134</f>
        <v>0</v>
      </c>
      <c r="D17" s="4">
        <f>'Funds Flow - Partner Detail'!I134</f>
        <v>0</v>
      </c>
      <c r="E17" s="4">
        <f>'Funds Flow - Partner Detail'!J34</f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21</v>
      </c>
      <c r="B18" s="8"/>
      <c r="C18" s="4">
        <f>'Funds Flow - Partner Detail'!H142</f>
        <v>0</v>
      </c>
      <c r="D18" s="4">
        <f>'Funds Flow - Partner Detail'!I142</f>
        <v>0</v>
      </c>
      <c r="E18" s="4">
        <f>'Funds Flow - Partner Detail'!J142</f>
        <v>60896.29</v>
      </c>
      <c r="F18" s="8"/>
      <c r="G18" s="5">
        <f t="shared" si="0"/>
        <v>0</v>
      </c>
      <c r="H18" s="5">
        <f t="shared" si="1"/>
        <v>0</v>
      </c>
      <c r="I18" s="5">
        <f t="shared" si="2"/>
        <v>2.6476913401040074E-2</v>
      </c>
    </row>
    <row r="19" spans="1:9" x14ac:dyDescent="0.25">
      <c r="A19" s="2" t="s">
        <v>22</v>
      </c>
      <c r="B19" s="8"/>
      <c r="C19" s="4"/>
      <c r="D19" s="4"/>
      <c r="E19" s="4">
        <v>306926</v>
      </c>
      <c r="F19" s="8"/>
      <c r="G19" s="5">
        <f t="shared" si="0"/>
        <v>0</v>
      </c>
      <c r="H19" s="5">
        <f t="shared" si="1"/>
        <v>0</v>
      </c>
      <c r="I19" s="5">
        <f t="shared" si="2"/>
        <v>0.13344742549222005</v>
      </c>
    </row>
    <row r="20" spans="1:9" x14ac:dyDescent="0.25">
      <c r="A20" s="2" t="s">
        <v>23</v>
      </c>
      <c r="B20" s="8"/>
      <c r="C20" s="4">
        <f>'Funds Flow - Partner Detail'!H150</f>
        <v>0</v>
      </c>
      <c r="D20" s="4">
        <f>'Funds Flow - Partner Detail'!I150</f>
        <v>0</v>
      </c>
      <c r="E20" s="4">
        <f>'Funds Flow - Partner Detail'!J150</f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24</v>
      </c>
      <c r="B21" s="8"/>
      <c r="C21" s="4">
        <f>'Funds Flow - Partner Detail'!H158</f>
        <v>0</v>
      </c>
      <c r="D21" s="4">
        <f>'Funds Flow - Partner Detail'!I158</f>
        <v>0</v>
      </c>
      <c r="E21" s="4">
        <f>'Funds Flow - Partner Detail'!J158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24</v>
      </c>
      <c r="B22" s="8"/>
      <c r="C22" s="4">
        <f>'Funds Flow - Partner Detail'!H166</f>
        <v>0</v>
      </c>
      <c r="D22" s="4">
        <f>'Funds Flow - Partner Detail'!I166</f>
        <v>0</v>
      </c>
      <c r="E22" s="4">
        <f>'Funds Flow - Partner Detail'!J166</f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24</v>
      </c>
      <c r="B23" s="8"/>
      <c r="C23" s="4">
        <f>'Funds Flow - Partner Detail'!H174</f>
        <v>0</v>
      </c>
      <c r="D23" s="4">
        <f>'Funds Flow - Partner Detail'!I174</f>
        <v>0</v>
      </c>
      <c r="E23" s="4">
        <f>'Funds Flow - Partner Detail'!J174</f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25</v>
      </c>
      <c r="B24" s="8"/>
      <c r="C24" s="6">
        <f>SUM(C5:C23)</f>
        <v>0</v>
      </c>
      <c r="D24" s="6">
        <f t="shared" ref="D24:E24" si="3">SUM(D5:D23)</f>
        <v>0</v>
      </c>
      <c r="E24" s="6">
        <f t="shared" si="3"/>
        <v>2299976.9299999997</v>
      </c>
      <c r="F24" s="8"/>
      <c r="G24" s="7">
        <f>SUM(G5:G23)</f>
        <v>0</v>
      </c>
      <c r="H24" s="7">
        <f t="shared" ref="H24:I24" si="4">SUM(H5:H23)</f>
        <v>0</v>
      </c>
      <c r="I24" s="7">
        <f t="shared" si="4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66.5703125" bestFit="1" customWidth="1"/>
    <col min="2" max="2" width="11" hidden="1" customWidth="1"/>
    <col min="3" max="3" width="8.5703125" hidden="1" customWidth="1"/>
    <col min="4" max="4" width="67.85546875" bestFit="1" customWidth="1"/>
    <col min="5" max="5" width="10.28515625" bestFit="1" customWidth="1"/>
    <col min="6" max="6" width="73" bestFit="1" customWidth="1"/>
    <col min="7" max="7" width="1.28515625" customWidth="1"/>
    <col min="8" max="9" width="12.140625" bestFit="1" customWidth="1"/>
    <col min="10" max="10" width="14.28515625" bestFit="1" customWidth="1"/>
    <col min="12" max="12" width="11" bestFit="1" customWidth="1"/>
    <col min="13" max="13" width="35.140625" bestFit="1" customWidth="1"/>
    <col min="14" max="14" width="11.5703125" style="24" bestFit="1" customWidth="1"/>
  </cols>
  <sheetData>
    <row r="1" spans="1:14" x14ac:dyDescent="0.25">
      <c r="A1" s="1" t="s">
        <v>26</v>
      </c>
    </row>
    <row r="3" spans="1:14" x14ac:dyDescent="0.25">
      <c r="A3" s="2"/>
      <c r="B3" s="28" t="s">
        <v>27</v>
      </c>
      <c r="C3" s="29"/>
      <c r="D3" s="29"/>
      <c r="E3" s="29"/>
      <c r="F3" s="30"/>
      <c r="G3" s="2"/>
      <c r="H3" s="28" t="s">
        <v>28</v>
      </c>
      <c r="I3" s="29"/>
      <c r="J3" s="30"/>
    </row>
    <row r="4" spans="1:14" ht="45" x14ac:dyDescent="0.25">
      <c r="A4" s="20"/>
      <c r="B4" s="20" t="s">
        <v>29</v>
      </c>
      <c r="C4" s="20" t="s">
        <v>30</v>
      </c>
      <c r="D4" s="20" t="s">
        <v>31</v>
      </c>
      <c r="E4" s="20" t="s">
        <v>32</v>
      </c>
      <c r="F4" s="20" t="s">
        <v>33</v>
      </c>
      <c r="G4" s="2"/>
      <c r="H4" s="20" t="s">
        <v>2</v>
      </c>
      <c r="I4" s="20" t="s">
        <v>3</v>
      </c>
      <c r="J4" s="20" t="s">
        <v>4</v>
      </c>
    </row>
    <row r="5" spans="1:14" x14ac:dyDescent="0.25">
      <c r="A5" s="27" t="s">
        <v>8</v>
      </c>
      <c r="B5" s="2" t="str">
        <f>"1922178623"</f>
        <v>1922178623</v>
      </c>
      <c r="C5" s="2"/>
      <c r="D5" s="10" t="s">
        <v>1786</v>
      </c>
      <c r="E5" s="10" t="s">
        <v>167</v>
      </c>
      <c r="F5" s="10" t="s">
        <v>166</v>
      </c>
      <c r="G5" s="2"/>
      <c r="H5" s="2"/>
      <c r="I5" s="2"/>
      <c r="J5" s="4">
        <v>63276.81</v>
      </c>
    </row>
    <row r="6" spans="1:14" x14ac:dyDescent="0.25">
      <c r="A6" s="27"/>
      <c r="B6" s="2" t="str">
        <f>"1053511691"</f>
        <v>1053511691</v>
      </c>
      <c r="C6" s="2"/>
      <c r="D6" s="10" t="s">
        <v>3424</v>
      </c>
      <c r="E6" s="10" t="s">
        <v>167</v>
      </c>
      <c r="F6" s="10" t="s">
        <v>166</v>
      </c>
      <c r="G6" s="2"/>
      <c r="H6" s="2"/>
      <c r="I6" s="2"/>
      <c r="J6" s="23">
        <v>10305.700000000001</v>
      </c>
    </row>
    <row r="7" spans="1:14" x14ac:dyDescent="0.25">
      <c r="A7" s="27"/>
      <c r="B7" s="2" t="str">
        <f>"1396842316"</f>
        <v>1396842316</v>
      </c>
      <c r="C7" s="2"/>
      <c r="D7" s="10" t="s">
        <v>2008</v>
      </c>
      <c r="E7" s="10" t="s">
        <v>167</v>
      </c>
      <c r="F7" s="10" t="s">
        <v>166</v>
      </c>
      <c r="G7" s="2"/>
      <c r="H7" s="2"/>
      <c r="I7" s="2"/>
      <c r="J7" s="4">
        <v>6527.35</v>
      </c>
    </row>
    <row r="8" spans="1:14" x14ac:dyDescent="0.25">
      <c r="A8" s="27"/>
      <c r="B8" s="2" t="str">
        <f>"1477549681"</f>
        <v>1477549681</v>
      </c>
      <c r="C8" s="2"/>
      <c r="D8" s="10" t="s">
        <v>168</v>
      </c>
      <c r="E8" s="10" t="s">
        <v>167</v>
      </c>
      <c r="F8" s="10" t="s">
        <v>166</v>
      </c>
      <c r="G8" s="2"/>
      <c r="H8" s="2"/>
      <c r="I8" s="2"/>
      <c r="J8" s="4">
        <v>10305.700000000001</v>
      </c>
    </row>
    <row r="9" spans="1:14" x14ac:dyDescent="0.25">
      <c r="A9" s="27"/>
      <c r="B9" s="2" t="str">
        <f>"1083931919"</f>
        <v>1083931919</v>
      </c>
      <c r="C9" s="2"/>
      <c r="D9" s="10" t="s">
        <v>3430</v>
      </c>
      <c r="E9" s="10" t="s">
        <v>107</v>
      </c>
      <c r="F9" s="10" t="s">
        <v>166</v>
      </c>
      <c r="G9" s="2"/>
      <c r="H9" s="2"/>
      <c r="I9" s="2"/>
      <c r="J9" s="4">
        <v>10305.700000000001</v>
      </c>
    </row>
    <row r="10" spans="1:14" x14ac:dyDescent="0.25">
      <c r="A10" s="27"/>
      <c r="B10" s="2" t="str">
        <f>"1306816103"</f>
        <v>1306816103</v>
      </c>
      <c r="C10" s="2"/>
      <c r="D10" s="10" t="s">
        <v>2553</v>
      </c>
      <c r="E10" s="10" t="s">
        <v>167</v>
      </c>
      <c r="F10" s="10" t="s">
        <v>166</v>
      </c>
      <c r="G10" s="2"/>
      <c r="H10" s="2"/>
      <c r="I10" s="2"/>
      <c r="J10" s="4">
        <v>10305.700000000001</v>
      </c>
    </row>
    <row r="11" spans="1:14" x14ac:dyDescent="0.25">
      <c r="A11" s="27"/>
      <c r="B11" s="2" t="str">
        <f>"1437254166"</f>
        <v>1437254166</v>
      </c>
      <c r="C11" s="2"/>
      <c r="D11" s="10" t="s">
        <v>2546</v>
      </c>
      <c r="E11" s="10" t="s">
        <v>167</v>
      </c>
      <c r="F11" s="10" t="s">
        <v>166</v>
      </c>
      <c r="G11" s="2"/>
      <c r="H11" s="2"/>
      <c r="I11" s="2"/>
      <c r="J11" s="4">
        <v>15168.9</v>
      </c>
      <c r="M11" s="22"/>
      <c r="N11" s="23"/>
    </row>
    <row r="12" spans="1:14" x14ac:dyDescent="0.25">
      <c r="A12" s="27"/>
      <c r="B12" s="2"/>
      <c r="C12" s="2"/>
      <c r="D12" s="10"/>
      <c r="E12" s="10"/>
      <c r="F12" s="10"/>
      <c r="G12" s="2"/>
      <c r="H12" s="2"/>
      <c r="I12" s="2"/>
      <c r="J12" s="4">
        <f t="shared" ref="J12" si="0">H12+I12</f>
        <v>0</v>
      </c>
    </row>
    <row r="13" spans="1:14" x14ac:dyDescent="0.25">
      <c r="A13" s="27"/>
      <c r="B13" s="28" t="s">
        <v>34</v>
      </c>
      <c r="C13" s="29"/>
      <c r="D13" s="29"/>
      <c r="E13" s="29"/>
      <c r="F13" s="29"/>
      <c r="G13" s="29"/>
      <c r="H13" s="29"/>
      <c r="I13" s="29"/>
      <c r="J13" s="29"/>
      <c r="M13" s="22"/>
      <c r="N13" s="23"/>
    </row>
    <row r="14" spans="1:14" x14ac:dyDescent="0.25">
      <c r="A14" s="8"/>
      <c r="B14" s="9"/>
      <c r="C14" s="9"/>
      <c r="D14" s="9"/>
      <c r="E14" s="9"/>
      <c r="F14" s="9"/>
      <c r="G14" s="9"/>
      <c r="H14" s="11">
        <f>SUM(H5:H12)</f>
        <v>0</v>
      </c>
      <c r="I14" s="11">
        <f t="shared" ref="I14:J14" si="1">SUM(I5:I12)</f>
        <v>0</v>
      </c>
      <c r="J14" s="11">
        <f t="shared" si="1"/>
        <v>126195.85999999999</v>
      </c>
      <c r="M14" s="22"/>
      <c r="N14" s="23"/>
    </row>
    <row r="15" spans="1:14" ht="14.25" customHeight="1" x14ac:dyDescent="0.25">
      <c r="A15" s="27" t="s">
        <v>9</v>
      </c>
      <c r="B15" s="2"/>
      <c r="C15" s="2"/>
      <c r="D15" s="10"/>
      <c r="E15" s="10"/>
      <c r="F15" s="10"/>
      <c r="G15" s="2"/>
      <c r="H15" s="2"/>
      <c r="I15" s="2"/>
      <c r="J15" s="4">
        <f>H15+I15</f>
        <v>0</v>
      </c>
    </row>
    <row r="16" spans="1:14" x14ac:dyDescent="0.25">
      <c r="A16" s="27"/>
      <c r="B16" s="2"/>
      <c r="C16" s="2"/>
      <c r="D16" s="10"/>
      <c r="E16" s="10"/>
      <c r="F16" s="10"/>
      <c r="G16" s="2"/>
      <c r="H16" s="2"/>
      <c r="I16" s="2"/>
      <c r="J16" s="4">
        <f t="shared" ref="J16:J20" si="2">H16+I16</f>
        <v>0</v>
      </c>
      <c r="M16" s="22"/>
      <c r="N16" s="23"/>
    </row>
    <row r="17" spans="1:14" x14ac:dyDescent="0.25">
      <c r="A17" s="27"/>
      <c r="B17" s="2"/>
      <c r="C17" s="2"/>
      <c r="D17" s="10"/>
      <c r="E17" s="10"/>
      <c r="F17" s="10"/>
      <c r="G17" s="2"/>
      <c r="H17" s="2"/>
      <c r="I17" s="2"/>
      <c r="J17" s="4">
        <f t="shared" si="2"/>
        <v>0</v>
      </c>
      <c r="M17" s="22"/>
      <c r="N17" s="23"/>
    </row>
    <row r="18" spans="1:14" x14ac:dyDescent="0.25">
      <c r="A18" s="27"/>
      <c r="B18" s="2"/>
      <c r="C18" s="2"/>
      <c r="D18" s="10"/>
      <c r="E18" s="10"/>
      <c r="F18" s="10"/>
      <c r="G18" s="2"/>
      <c r="H18" s="2"/>
      <c r="I18" s="2"/>
      <c r="J18" s="4">
        <f t="shared" si="2"/>
        <v>0</v>
      </c>
    </row>
    <row r="19" spans="1:14" x14ac:dyDescent="0.25">
      <c r="A19" s="27"/>
      <c r="B19" s="2"/>
      <c r="C19" s="2"/>
      <c r="D19" s="10"/>
      <c r="E19" s="10"/>
      <c r="F19" s="10"/>
      <c r="G19" s="2"/>
      <c r="H19" s="2"/>
      <c r="I19" s="2"/>
      <c r="J19" s="4">
        <f t="shared" si="2"/>
        <v>0</v>
      </c>
    </row>
    <row r="20" spans="1:14" x14ac:dyDescent="0.25">
      <c r="A20" s="27"/>
      <c r="B20" s="2"/>
      <c r="C20" s="2"/>
      <c r="D20" s="10"/>
      <c r="E20" s="10"/>
      <c r="F20" s="10"/>
      <c r="G20" s="2"/>
      <c r="H20" s="2"/>
      <c r="I20" s="2"/>
      <c r="J20" s="4">
        <f t="shared" si="2"/>
        <v>0</v>
      </c>
    </row>
    <row r="21" spans="1:14" x14ac:dyDescent="0.25">
      <c r="A21" s="27"/>
      <c r="B21" s="28" t="s">
        <v>34</v>
      </c>
      <c r="C21" s="29"/>
      <c r="D21" s="29"/>
      <c r="E21" s="29"/>
      <c r="F21" s="29"/>
      <c r="G21" s="29"/>
      <c r="H21" s="29"/>
      <c r="I21" s="29"/>
      <c r="J21" s="29"/>
    </row>
    <row r="22" spans="1:14" x14ac:dyDescent="0.25">
      <c r="A22" s="8"/>
      <c r="B22" s="9"/>
      <c r="C22" s="9"/>
      <c r="D22" s="9"/>
      <c r="E22" s="9"/>
      <c r="F22" s="9"/>
      <c r="G22" s="9"/>
      <c r="H22" s="11">
        <f>SUM(H15:H20)</f>
        <v>0</v>
      </c>
      <c r="I22" s="11">
        <f t="shared" ref="I22:J22" si="3">SUM(I15:I20)</f>
        <v>0</v>
      </c>
      <c r="J22" s="11">
        <f t="shared" si="3"/>
        <v>0</v>
      </c>
      <c r="M22" s="22"/>
      <c r="N22" s="23"/>
    </row>
    <row r="23" spans="1:14" ht="14.25" customHeight="1" x14ac:dyDescent="0.25">
      <c r="A23" s="27" t="s">
        <v>10</v>
      </c>
      <c r="B23" s="2" t="str">
        <f>"1952347205"</f>
        <v>1952347205</v>
      </c>
      <c r="C23" s="2"/>
      <c r="D23" s="10" t="s">
        <v>4077</v>
      </c>
      <c r="E23" s="10" t="s">
        <v>167</v>
      </c>
      <c r="F23" s="10" t="s">
        <v>685</v>
      </c>
      <c r="G23" s="2"/>
      <c r="H23" s="2"/>
      <c r="I23" s="2"/>
      <c r="J23" s="4">
        <v>982426</v>
      </c>
      <c r="N23" s="23"/>
    </row>
    <row r="24" spans="1:14" x14ac:dyDescent="0.25">
      <c r="A24" s="27"/>
      <c r="B24" s="2"/>
      <c r="C24" s="2"/>
      <c r="D24" s="10"/>
      <c r="E24" s="10"/>
      <c r="F24" s="10"/>
      <c r="G24" s="2"/>
      <c r="H24" s="2"/>
      <c r="I24" s="2"/>
      <c r="J24" s="4">
        <f t="shared" ref="J24:J28" si="4">H24+I24</f>
        <v>0</v>
      </c>
      <c r="N24" s="23"/>
    </row>
    <row r="25" spans="1:14" x14ac:dyDescent="0.25">
      <c r="A25" s="27"/>
      <c r="B25" s="2"/>
      <c r="C25" s="2"/>
      <c r="D25" s="10"/>
      <c r="E25" s="10"/>
      <c r="F25" s="10"/>
      <c r="G25" s="2"/>
      <c r="H25" s="2"/>
      <c r="I25" s="2"/>
      <c r="J25" s="4">
        <f t="shared" si="4"/>
        <v>0</v>
      </c>
      <c r="N25" s="23"/>
    </row>
    <row r="26" spans="1:14" x14ac:dyDescent="0.25">
      <c r="A26" s="27"/>
      <c r="B26" s="2"/>
      <c r="C26" s="2"/>
      <c r="D26" s="10"/>
      <c r="E26" s="10"/>
      <c r="F26" s="10"/>
      <c r="G26" s="2"/>
      <c r="H26" s="2"/>
      <c r="I26" s="2"/>
      <c r="J26" s="4">
        <f t="shared" si="4"/>
        <v>0</v>
      </c>
      <c r="N26" s="23"/>
    </row>
    <row r="27" spans="1:14" x14ac:dyDescent="0.25">
      <c r="A27" s="27"/>
      <c r="B27" s="2"/>
      <c r="C27" s="2"/>
      <c r="D27" s="10"/>
      <c r="E27" s="10"/>
      <c r="F27" s="10"/>
      <c r="G27" s="2"/>
      <c r="H27" s="2"/>
      <c r="I27" s="2"/>
      <c r="J27" s="4">
        <f t="shared" si="4"/>
        <v>0</v>
      </c>
      <c r="N27" s="23"/>
    </row>
    <row r="28" spans="1:14" x14ac:dyDescent="0.25">
      <c r="A28" s="27"/>
      <c r="B28" s="2"/>
      <c r="C28" s="2"/>
      <c r="D28" s="10"/>
      <c r="E28" s="10"/>
      <c r="F28" s="10"/>
      <c r="G28" s="2"/>
      <c r="H28" s="2"/>
      <c r="I28" s="2"/>
      <c r="J28" s="4">
        <f t="shared" si="4"/>
        <v>0</v>
      </c>
      <c r="N28" s="23"/>
    </row>
    <row r="29" spans="1:14" x14ac:dyDescent="0.25">
      <c r="A29" s="27"/>
      <c r="B29" s="28" t="s">
        <v>34</v>
      </c>
      <c r="C29" s="29"/>
      <c r="D29" s="29"/>
      <c r="E29" s="29"/>
      <c r="F29" s="29"/>
      <c r="G29" s="29"/>
      <c r="H29" s="29"/>
      <c r="I29" s="29"/>
      <c r="J29" s="29"/>
      <c r="N29" s="23"/>
    </row>
    <row r="30" spans="1:14" x14ac:dyDescent="0.25">
      <c r="A30" s="8"/>
      <c r="B30" s="9"/>
      <c r="C30" s="9"/>
      <c r="D30" s="9"/>
      <c r="E30" s="9"/>
      <c r="F30" s="9"/>
      <c r="G30" s="9"/>
      <c r="H30" s="11">
        <f>SUM(H23:H28)</f>
        <v>0</v>
      </c>
      <c r="I30" s="11">
        <f t="shared" ref="I30:J30" si="5">SUM(I23:I28)</f>
        <v>0</v>
      </c>
      <c r="J30" s="11">
        <f t="shared" si="5"/>
        <v>982426</v>
      </c>
      <c r="N30" s="23"/>
    </row>
    <row r="31" spans="1:14" ht="14.25" customHeight="1" x14ac:dyDescent="0.25">
      <c r="A31" s="27" t="s">
        <v>11</v>
      </c>
      <c r="B31" s="2"/>
      <c r="C31" s="2"/>
      <c r="D31" s="10"/>
      <c r="E31" s="10"/>
      <c r="F31" s="10"/>
      <c r="G31" s="2"/>
      <c r="H31" s="2"/>
      <c r="I31" s="2"/>
      <c r="J31" s="4">
        <f>H31+I31</f>
        <v>0</v>
      </c>
      <c r="N31" s="23"/>
    </row>
    <row r="32" spans="1:14" x14ac:dyDescent="0.25">
      <c r="A32" s="27"/>
      <c r="B32" s="2"/>
      <c r="C32" s="2"/>
      <c r="D32" s="10"/>
      <c r="E32" s="10"/>
      <c r="F32" s="10"/>
      <c r="G32" s="2"/>
      <c r="H32" s="2"/>
      <c r="I32" s="2"/>
      <c r="J32" s="4">
        <f t="shared" ref="J32:J36" si="6">H32+I32</f>
        <v>0</v>
      </c>
      <c r="N32" s="23"/>
    </row>
    <row r="33" spans="1:14" x14ac:dyDescent="0.25">
      <c r="A33" s="27"/>
      <c r="B33" s="2"/>
      <c r="C33" s="2"/>
      <c r="D33" s="10"/>
      <c r="E33" s="10"/>
      <c r="F33" s="10"/>
      <c r="G33" s="2"/>
      <c r="H33" s="2"/>
      <c r="I33" s="2"/>
      <c r="J33" s="4">
        <f t="shared" si="6"/>
        <v>0</v>
      </c>
      <c r="N33" s="23"/>
    </row>
    <row r="34" spans="1:14" x14ac:dyDescent="0.25">
      <c r="A34" s="27"/>
      <c r="B34" s="2"/>
      <c r="C34" s="2"/>
      <c r="D34" s="10"/>
      <c r="E34" s="10"/>
      <c r="F34" s="10"/>
      <c r="G34" s="2"/>
      <c r="H34" s="2"/>
      <c r="I34" s="2"/>
      <c r="J34" s="4">
        <f t="shared" si="6"/>
        <v>0</v>
      </c>
      <c r="N34" s="23"/>
    </row>
    <row r="35" spans="1:14" x14ac:dyDescent="0.25">
      <c r="A35" s="27"/>
      <c r="B35" s="2"/>
      <c r="C35" s="2"/>
      <c r="D35" s="10"/>
      <c r="E35" s="10"/>
      <c r="F35" s="10"/>
      <c r="G35" s="2"/>
      <c r="H35" s="2"/>
      <c r="I35" s="2"/>
      <c r="J35" s="4">
        <f t="shared" si="6"/>
        <v>0</v>
      </c>
      <c r="N35" s="23"/>
    </row>
    <row r="36" spans="1:14" x14ac:dyDescent="0.25">
      <c r="A36" s="27"/>
      <c r="B36" s="2"/>
      <c r="C36" s="2"/>
      <c r="D36" s="10"/>
      <c r="E36" s="10"/>
      <c r="F36" s="10"/>
      <c r="G36" s="2"/>
      <c r="H36" s="2"/>
      <c r="I36" s="2"/>
      <c r="J36" s="4">
        <f t="shared" si="6"/>
        <v>0</v>
      </c>
      <c r="N36" s="23"/>
    </row>
    <row r="37" spans="1:14" x14ac:dyDescent="0.25">
      <c r="A37" s="27"/>
      <c r="B37" s="28" t="s">
        <v>34</v>
      </c>
      <c r="C37" s="29"/>
      <c r="D37" s="29"/>
      <c r="E37" s="29"/>
      <c r="F37" s="29"/>
      <c r="G37" s="29"/>
      <c r="H37" s="29"/>
      <c r="I37" s="29"/>
      <c r="J37" s="29"/>
      <c r="N37" s="23"/>
    </row>
    <row r="38" spans="1:14" x14ac:dyDescent="0.25">
      <c r="A38" s="8"/>
      <c r="B38" s="9"/>
      <c r="C38" s="9"/>
      <c r="D38" s="9"/>
      <c r="E38" s="9"/>
      <c r="F38" s="9"/>
      <c r="G38" s="9"/>
      <c r="H38" s="11">
        <f>SUM(H31:H36)</f>
        <v>0</v>
      </c>
      <c r="I38" s="11">
        <f t="shared" ref="I38:J38" si="7">SUM(I31:I36)</f>
        <v>0</v>
      </c>
      <c r="J38" s="11">
        <f t="shared" si="7"/>
        <v>0</v>
      </c>
      <c r="N38" s="23"/>
    </row>
    <row r="39" spans="1:14" x14ac:dyDescent="0.25">
      <c r="A39" s="27" t="s">
        <v>12</v>
      </c>
      <c r="B39" s="2" t="str">
        <f>"1003093436"</f>
        <v>1003093436</v>
      </c>
      <c r="C39" s="2"/>
      <c r="D39" s="10" t="s">
        <v>189</v>
      </c>
      <c r="E39" s="10" t="s">
        <v>167</v>
      </c>
      <c r="F39" s="10" t="s">
        <v>188</v>
      </c>
      <c r="G39" s="2"/>
      <c r="H39" s="2"/>
      <c r="I39" s="2"/>
      <c r="J39" s="4">
        <v>91982.75</v>
      </c>
      <c r="N39" s="23"/>
    </row>
    <row r="40" spans="1:14" x14ac:dyDescent="0.25">
      <c r="A40" s="27"/>
      <c r="B40" s="2" t="str">
        <f>"1477764496"</f>
        <v>1477764496</v>
      </c>
      <c r="C40" s="2"/>
      <c r="D40" s="10" t="s">
        <v>1663</v>
      </c>
      <c r="E40" s="10" t="s">
        <v>167</v>
      </c>
      <c r="F40" s="10" t="s">
        <v>1662</v>
      </c>
      <c r="G40" s="2"/>
      <c r="H40" s="2"/>
      <c r="I40" s="2"/>
      <c r="J40" s="4">
        <v>62861.45</v>
      </c>
      <c r="N40" s="23"/>
    </row>
    <row r="41" spans="1:14" x14ac:dyDescent="0.25">
      <c r="A41" s="27"/>
      <c r="B41" s="2"/>
      <c r="C41" s="2"/>
      <c r="D41" s="10"/>
      <c r="E41" s="10"/>
      <c r="F41" s="10"/>
      <c r="G41" s="2"/>
      <c r="H41" s="2"/>
      <c r="I41" s="2"/>
      <c r="J41" s="4">
        <f t="shared" ref="J41:J44" si="8">H41+I41</f>
        <v>0</v>
      </c>
      <c r="M41" s="22"/>
      <c r="N41" s="23"/>
    </row>
    <row r="42" spans="1:14" x14ac:dyDescent="0.25">
      <c r="A42" s="27"/>
      <c r="B42" s="2"/>
      <c r="C42" s="2"/>
      <c r="D42" s="10"/>
      <c r="E42" s="10"/>
      <c r="F42" s="10"/>
      <c r="G42" s="2"/>
      <c r="H42" s="2"/>
      <c r="I42" s="2"/>
      <c r="J42" s="4">
        <f t="shared" si="8"/>
        <v>0</v>
      </c>
      <c r="M42" s="22"/>
      <c r="N42" s="23"/>
    </row>
    <row r="43" spans="1:14" x14ac:dyDescent="0.25">
      <c r="A43" s="27"/>
      <c r="B43" s="2"/>
      <c r="C43" s="2"/>
      <c r="D43" s="10"/>
      <c r="E43" s="10"/>
      <c r="F43" s="10"/>
      <c r="G43" s="2"/>
      <c r="H43" s="2"/>
      <c r="I43" s="2"/>
      <c r="J43" s="4">
        <f t="shared" si="8"/>
        <v>0</v>
      </c>
      <c r="M43" s="22"/>
      <c r="N43" s="23"/>
    </row>
    <row r="44" spans="1:14" x14ac:dyDescent="0.25">
      <c r="A44" s="27"/>
      <c r="B44" s="2"/>
      <c r="C44" s="2"/>
      <c r="D44" s="10"/>
      <c r="E44" s="10"/>
      <c r="F44" s="10"/>
      <c r="G44" s="2"/>
      <c r="H44" s="2"/>
      <c r="I44" s="2"/>
      <c r="J44" s="4">
        <f t="shared" si="8"/>
        <v>0</v>
      </c>
      <c r="M44" s="22"/>
      <c r="N44" s="23"/>
    </row>
    <row r="45" spans="1:14" x14ac:dyDescent="0.25">
      <c r="A45" s="27"/>
      <c r="B45" s="28" t="s">
        <v>34</v>
      </c>
      <c r="C45" s="29"/>
      <c r="D45" s="29"/>
      <c r="E45" s="29"/>
      <c r="F45" s="29"/>
      <c r="G45" s="29"/>
      <c r="H45" s="29"/>
      <c r="I45" s="29"/>
      <c r="J45" s="29"/>
    </row>
    <row r="46" spans="1:14" x14ac:dyDescent="0.25">
      <c r="A46" s="8"/>
      <c r="B46" s="9"/>
      <c r="C46" s="9"/>
      <c r="D46" s="9"/>
      <c r="E46" s="9"/>
      <c r="F46" s="9"/>
      <c r="G46" s="9"/>
      <c r="H46" s="11">
        <f>SUM(H39:H44)</f>
        <v>0</v>
      </c>
      <c r="I46" s="11">
        <f t="shared" ref="I46:J46" si="9">SUM(I39:I44)</f>
        <v>0</v>
      </c>
      <c r="J46" s="11">
        <f t="shared" si="9"/>
        <v>154844.20000000001</v>
      </c>
      <c r="M46" s="22"/>
    </row>
    <row r="47" spans="1:14" x14ac:dyDescent="0.25">
      <c r="A47" s="27" t="s">
        <v>13</v>
      </c>
      <c r="B47" s="2"/>
      <c r="C47" s="2"/>
      <c r="D47" s="10"/>
      <c r="E47" s="10"/>
      <c r="F47" s="10"/>
      <c r="G47" s="2"/>
      <c r="H47" s="2"/>
      <c r="I47" s="2"/>
      <c r="J47" s="4">
        <f>H47+I47</f>
        <v>0</v>
      </c>
      <c r="M47" s="22"/>
      <c r="N47" s="23"/>
    </row>
    <row r="48" spans="1:14" x14ac:dyDescent="0.25">
      <c r="A48" s="27"/>
      <c r="B48" s="2"/>
      <c r="C48" s="2"/>
      <c r="D48" s="10"/>
      <c r="E48" s="10"/>
      <c r="F48" s="10"/>
      <c r="G48" s="2"/>
      <c r="H48" s="2"/>
      <c r="I48" s="2"/>
      <c r="J48" s="4">
        <f t="shared" ref="J48:J52" si="10">H48+I48</f>
        <v>0</v>
      </c>
      <c r="M48" s="22"/>
    </row>
    <row r="49" spans="1:14" x14ac:dyDescent="0.25">
      <c r="A49" s="27"/>
      <c r="B49" s="2"/>
      <c r="C49" s="2"/>
      <c r="D49" s="10"/>
      <c r="E49" s="10"/>
      <c r="F49" s="10"/>
      <c r="G49" s="2"/>
      <c r="H49" s="2"/>
      <c r="I49" s="2"/>
      <c r="J49" s="4">
        <f t="shared" si="10"/>
        <v>0</v>
      </c>
      <c r="M49" s="22"/>
      <c r="N49" s="23"/>
    </row>
    <row r="50" spans="1:14" x14ac:dyDescent="0.25">
      <c r="A50" s="27"/>
      <c r="B50" s="2"/>
      <c r="C50" s="2"/>
      <c r="D50" s="10"/>
      <c r="E50" s="10"/>
      <c r="F50" s="10"/>
      <c r="G50" s="2"/>
      <c r="H50" s="2"/>
      <c r="I50" s="2"/>
      <c r="J50" s="4">
        <f t="shared" si="10"/>
        <v>0</v>
      </c>
    </row>
    <row r="51" spans="1:14" x14ac:dyDescent="0.25">
      <c r="A51" s="27"/>
      <c r="B51" s="2"/>
      <c r="C51" s="2"/>
      <c r="D51" s="10"/>
      <c r="E51" s="10"/>
      <c r="F51" s="10"/>
      <c r="G51" s="2"/>
      <c r="H51" s="2"/>
      <c r="I51" s="2"/>
      <c r="J51" s="4">
        <f t="shared" si="10"/>
        <v>0</v>
      </c>
    </row>
    <row r="52" spans="1:14" x14ac:dyDescent="0.25">
      <c r="A52" s="27"/>
      <c r="B52" s="2"/>
      <c r="C52" s="2"/>
      <c r="D52" s="10"/>
      <c r="E52" s="10"/>
      <c r="F52" s="10"/>
      <c r="G52" s="2"/>
      <c r="H52" s="2"/>
      <c r="I52" s="2"/>
      <c r="J52" s="4">
        <f t="shared" si="10"/>
        <v>0</v>
      </c>
      <c r="M52" s="22"/>
      <c r="N52" s="23"/>
    </row>
    <row r="53" spans="1:14" x14ac:dyDescent="0.25">
      <c r="A53" s="27"/>
      <c r="B53" s="28" t="s">
        <v>34</v>
      </c>
      <c r="C53" s="29"/>
      <c r="D53" s="29"/>
      <c r="E53" s="29"/>
      <c r="F53" s="29"/>
      <c r="G53" s="29"/>
      <c r="H53" s="29"/>
      <c r="I53" s="29"/>
      <c r="J53" s="29"/>
    </row>
    <row r="54" spans="1:14" x14ac:dyDescent="0.25">
      <c r="A54" s="8"/>
      <c r="B54" s="9"/>
      <c r="C54" s="9"/>
      <c r="D54" s="9"/>
      <c r="E54" s="9"/>
      <c r="F54" s="9"/>
      <c r="G54" s="9"/>
      <c r="H54" s="11">
        <f>SUM(H47:H52)</f>
        <v>0</v>
      </c>
      <c r="I54" s="11">
        <f t="shared" ref="I54:J54" si="11">SUM(I47:I52)</f>
        <v>0</v>
      </c>
      <c r="J54" s="11">
        <f t="shared" si="11"/>
        <v>0</v>
      </c>
    </row>
    <row r="55" spans="1:14" x14ac:dyDescent="0.25">
      <c r="A55" s="27" t="s">
        <v>14</v>
      </c>
      <c r="B55" s="2" t="str">
        <f>"1609909910"</f>
        <v>1609909910</v>
      </c>
      <c r="C55" s="2"/>
      <c r="D55" s="10" t="s">
        <v>1853</v>
      </c>
      <c r="E55" s="10" t="s">
        <v>167</v>
      </c>
      <c r="F55" s="10" t="s">
        <v>14</v>
      </c>
      <c r="G55" s="2"/>
      <c r="H55" s="2"/>
      <c r="I55" s="2"/>
      <c r="J55" s="4">
        <v>40821.74</v>
      </c>
    </row>
    <row r="56" spans="1:14" x14ac:dyDescent="0.25">
      <c r="A56" s="27"/>
      <c r="B56" s="2"/>
      <c r="C56" s="2"/>
      <c r="D56" s="10"/>
      <c r="E56" s="10"/>
      <c r="F56" s="10"/>
      <c r="G56" s="2"/>
      <c r="H56" s="2"/>
      <c r="I56" s="2"/>
      <c r="J56" s="4">
        <f t="shared" ref="J56:J60" si="12">H56+I56</f>
        <v>0</v>
      </c>
    </row>
    <row r="57" spans="1:14" x14ac:dyDescent="0.25">
      <c r="A57" s="27"/>
      <c r="B57" s="2"/>
      <c r="C57" s="2"/>
      <c r="D57" s="10"/>
      <c r="E57" s="10"/>
      <c r="F57" s="10"/>
      <c r="G57" s="2"/>
      <c r="H57" s="2"/>
      <c r="I57" s="2"/>
      <c r="J57" s="4">
        <f t="shared" si="12"/>
        <v>0</v>
      </c>
    </row>
    <row r="58" spans="1:14" x14ac:dyDescent="0.25">
      <c r="A58" s="27"/>
      <c r="B58" s="2"/>
      <c r="C58" s="2"/>
      <c r="D58" s="10"/>
      <c r="E58" s="10"/>
      <c r="F58" s="10"/>
      <c r="G58" s="2"/>
      <c r="H58" s="2"/>
      <c r="I58" s="2"/>
      <c r="J58" s="4">
        <f t="shared" si="12"/>
        <v>0</v>
      </c>
    </row>
    <row r="59" spans="1:14" x14ac:dyDescent="0.25">
      <c r="A59" s="27"/>
      <c r="B59" s="2"/>
      <c r="C59" s="2"/>
      <c r="D59" s="10"/>
      <c r="E59" s="10"/>
      <c r="F59" s="10"/>
      <c r="G59" s="2"/>
      <c r="H59" s="2"/>
      <c r="I59" s="2"/>
      <c r="J59" s="4">
        <f t="shared" si="12"/>
        <v>0</v>
      </c>
    </row>
    <row r="60" spans="1:14" x14ac:dyDescent="0.25">
      <c r="A60" s="27"/>
      <c r="B60" s="2"/>
      <c r="C60" s="2"/>
      <c r="D60" s="10"/>
      <c r="E60" s="10"/>
      <c r="F60" s="10"/>
      <c r="G60" s="2"/>
      <c r="H60" s="2"/>
      <c r="I60" s="2"/>
      <c r="J60" s="4">
        <f t="shared" si="12"/>
        <v>0</v>
      </c>
    </row>
    <row r="61" spans="1:14" x14ac:dyDescent="0.25">
      <c r="A61" s="27"/>
      <c r="B61" s="28" t="s">
        <v>34</v>
      </c>
      <c r="C61" s="29"/>
      <c r="D61" s="29"/>
      <c r="E61" s="29"/>
      <c r="F61" s="29"/>
      <c r="G61" s="29"/>
      <c r="H61" s="29"/>
      <c r="I61" s="29"/>
      <c r="J61" s="29"/>
    </row>
    <row r="62" spans="1:14" x14ac:dyDescent="0.25">
      <c r="A62" s="8"/>
      <c r="B62" s="9"/>
      <c r="C62" s="9"/>
      <c r="D62" s="9"/>
      <c r="E62" s="9"/>
      <c r="F62" s="9"/>
      <c r="G62" s="9"/>
      <c r="H62" s="11">
        <f>SUM(H55:H60)</f>
        <v>0</v>
      </c>
      <c r="I62" s="11">
        <f t="shared" ref="I62:J62" si="13">SUM(I55:I60)</f>
        <v>0</v>
      </c>
      <c r="J62" s="11">
        <f t="shared" si="13"/>
        <v>40821.74</v>
      </c>
    </row>
    <row r="63" spans="1:14" x14ac:dyDescent="0.25">
      <c r="A63" s="27" t="s">
        <v>15</v>
      </c>
      <c r="B63" s="2" t="str">
        <f>"1629274972"</f>
        <v>1629274972</v>
      </c>
      <c r="C63" s="2"/>
      <c r="D63" s="10" t="s">
        <v>3116</v>
      </c>
      <c r="E63" s="10" t="s">
        <v>167</v>
      </c>
      <c r="F63" s="10" t="s">
        <v>3115</v>
      </c>
      <c r="G63" s="2"/>
      <c r="H63" s="2"/>
      <c r="I63" s="2"/>
      <c r="J63" s="4">
        <v>32715.68</v>
      </c>
    </row>
    <row r="64" spans="1:14" x14ac:dyDescent="0.25">
      <c r="A64" s="27"/>
      <c r="B64" s="2" t="str">
        <f>"1528059805"</f>
        <v>1528059805</v>
      </c>
      <c r="C64" s="2"/>
      <c r="D64" s="10" t="s">
        <v>3235</v>
      </c>
      <c r="E64" s="10"/>
      <c r="F64" s="10" t="s">
        <v>3232</v>
      </c>
      <c r="G64" s="2"/>
      <c r="H64" s="2"/>
      <c r="I64" s="2"/>
      <c r="J64" s="4">
        <v>80840.490000000005</v>
      </c>
    </row>
    <row r="65" spans="1:10" x14ac:dyDescent="0.25">
      <c r="A65" s="27"/>
      <c r="B65" s="2" t="str">
        <f>"1477699791"</f>
        <v>1477699791</v>
      </c>
      <c r="C65" s="2"/>
      <c r="D65" s="10" t="s">
        <v>4114</v>
      </c>
      <c r="E65" s="10"/>
      <c r="F65" s="10" t="s">
        <v>2159</v>
      </c>
      <c r="G65" s="2"/>
      <c r="H65" s="2"/>
      <c r="I65" s="2"/>
      <c r="J65" s="4">
        <v>95940.5</v>
      </c>
    </row>
    <row r="66" spans="1:10" x14ac:dyDescent="0.25">
      <c r="A66" s="27"/>
      <c r="B66" s="2"/>
      <c r="C66" s="2"/>
      <c r="D66" s="10"/>
      <c r="E66" s="10"/>
      <c r="F66" s="10"/>
      <c r="G66" s="2"/>
      <c r="H66" s="2"/>
      <c r="I66" s="2"/>
      <c r="J66" s="4"/>
    </row>
    <row r="67" spans="1:10" x14ac:dyDescent="0.25">
      <c r="A67" s="27"/>
      <c r="B67" s="2"/>
      <c r="C67" s="2"/>
      <c r="D67" s="10"/>
      <c r="E67" s="10"/>
      <c r="F67" s="10"/>
      <c r="G67" s="2"/>
      <c r="H67" s="2"/>
      <c r="I67" s="2"/>
      <c r="J67" s="4"/>
    </row>
    <row r="68" spans="1:10" x14ac:dyDescent="0.25">
      <c r="A68" s="27"/>
      <c r="B68" s="2"/>
      <c r="C68" s="2"/>
      <c r="D68" s="10"/>
      <c r="E68" s="10"/>
      <c r="F68" s="10"/>
      <c r="G68" s="2"/>
      <c r="H68" s="2"/>
      <c r="I68" s="2"/>
      <c r="J68" s="4"/>
    </row>
    <row r="69" spans="1:10" x14ac:dyDescent="0.25">
      <c r="A69" s="27"/>
      <c r="B69" s="28" t="s">
        <v>34</v>
      </c>
      <c r="C69" s="29"/>
      <c r="D69" s="29"/>
      <c r="E69" s="29"/>
      <c r="F69" s="29"/>
      <c r="G69" s="29"/>
      <c r="H69" s="29"/>
      <c r="I69" s="29"/>
      <c r="J69" s="29"/>
    </row>
    <row r="70" spans="1:10" x14ac:dyDescent="0.25">
      <c r="A70" s="8"/>
      <c r="B70" s="9"/>
      <c r="C70" s="9"/>
      <c r="D70" s="9"/>
      <c r="E70" s="9"/>
      <c r="F70" s="9"/>
      <c r="G70" s="9"/>
      <c r="H70" s="11">
        <f>SUM(H63:H68)</f>
        <v>0</v>
      </c>
      <c r="I70" s="11">
        <f t="shared" ref="I70:J70" si="14">SUM(I63:I68)</f>
        <v>0</v>
      </c>
      <c r="J70" s="11">
        <f t="shared" si="14"/>
        <v>209496.67</v>
      </c>
    </row>
    <row r="71" spans="1:10" x14ac:dyDescent="0.25">
      <c r="A71" s="27" t="s">
        <v>16</v>
      </c>
      <c r="B71" s="2"/>
      <c r="C71" s="2"/>
      <c r="D71" s="10"/>
      <c r="E71" s="10"/>
      <c r="F71" s="10"/>
      <c r="G71" s="2"/>
      <c r="H71" s="2"/>
      <c r="I71" s="2"/>
      <c r="J71" s="4">
        <f>H71+I71</f>
        <v>0</v>
      </c>
    </row>
    <row r="72" spans="1:10" x14ac:dyDescent="0.25">
      <c r="A72" s="27"/>
      <c r="B72" s="2"/>
      <c r="C72" s="2"/>
      <c r="D72" s="10"/>
      <c r="E72" s="10"/>
      <c r="F72" s="10"/>
      <c r="G72" s="2"/>
      <c r="H72" s="2"/>
      <c r="I72" s="2"/>
      <c r="J72" s="4">
        <f t="shared" ref="J72:J76" si="15">H72+I72</f>
        <v>0</v>
      </c>
    </row>
    <row r="73" spans="1:10" x14ac:dyDescent="0.25">
      <c r="A73" s="27"/>
      <c r="B73" s="2"/>
      <c r="C73" s="2"/>
      <c r="D73" s="10"/>
      <c r="E73" s="10"/>
      <c r="F73" s="10"/>
      <c r="G73" s="2"/>
      <c r="H73" s="2"/>
      <c r="I73" s="2"/>
      <c r="J73" s="4">
        <f t="shared" si="15"/>
        <v>0</v>
      </c>
    </row>
    <row r="74" spans="1:10" x14ac:dyDescent="0.25">
      <c r="A74" s="27"/>
      <c r="B74" s="2"/>
      <c r="C74" s="2"/>
      <c r="D74" s="10"/>
      <c r="E74" s="10"/>
      <c r="F74" s="10"/>
      <c r="G74" s="2"/>
      <c r="H74" s="2"/>
      <c r="I74" s="2"/>
      <c r="J74" s="4">
        <f t="shared" si="15"/>
        <v>0</v>
      </c>
    </row>
    <row r="75" spans="1:10" x14ac:dyDescent="0.25">
      <c r="A75" s="27"/>
      <c r="B75" s="2"/>
      <c r="C75" s="2"/>
      <c r="D75" s="10"/>
      <c r="E75" s="10"/>
      <c r="F75" s="10"/>
      <c r="G75" s="2"/>
      <c r="H75" s="2"/>
      <c r="I75" s="2"/>
      <c r="J75" s="4">
        <f t="shared" si="15"/>
        <v>0</v>
      </c>
    </row>
    <row r="76" spans="1:10" x14ac:dyDescent="0.25">
      <c r="A76" s="27"/>
      <c r="B76" s="2"/>
      <c r="C76" s="2"/>
      <c r="D76" s="10"/>
      <c r="E76" s="10"/>
      <c r="F76" s="10"/>
      <c r="G76" s="2"/>
      <c r="H76" s="2"/>
      <c r="I76" s="2"/>
      <c r="J76" s="4">
        <f t="shared" si="15"/>
        <v>0</v>
      </c>
    </row>
    <row r="77" spans="1:10" x14ac:dyDescent="0.25">
      <c r="A77" s="27"/>
      <c r="B77" s="28" t="s">
        <v>34</v>
      </c>
      <c r="C77" s="29"/>
      <c r="D77" s="29"/>
      <c r="E77" s="29"/>
      <c r="F77" s="29"/>
      <c r="G77" s="29"/>
      <c r="H77" s="29"/>
      <c r="I77" s="29"/>
      <c r="J77" s="29"/>
    </row>
    <row r="78" spans="1:10" x14ac:dyDescent="0.25">
      <c r="A78" s="8"/>
      <c r="B78" s="9"/>
      <c r="C78" s="9"/>
      <c r="D78" s="9"/>
      <c r="E78" s="9"/>
      <c r="F78" s="9"/>
      <c r="G78" s="9"/>
      <c r="H78" s="11">
        <f>SUM(H71:H76)</f>
        <v>0</v>
      </c>
      <c r="I78" s="11">
        <f t="shared" ref="I78:J78" si="16">SUM(I71:I76)</f>
        <v>0</v>
      </c>
      <c r="J78" s="11">
        <f t="shared" si="16"/>
        <v>0</v>
      </c>
    </row>
    <row r="79" spans="1:10" x14ac:dyDescent="0.25">
      <c r="A79" s="27" t="s">
        <v>17</v>
      </c>
      <c r="B79" s="2"/>
      <c r="C79" s="2"/>
      <c r="D79" s="10" t="s">
        <v>2508</v>
      </c>
      <c r="E79" s="10" t="s">
        <v>107</v>
      </c>
      <c r="F79" s="10" t="s">
        <v>4196</v>
      </c>
      <c r="G79" s="2"/>
      <c r="H79" s="2"/>
      <c r="I79" s="2"/>
      <c r="J79" s="4">
        <v>40821.74</v>
      </c>
    </row>
    <row r="80" spans="1:10" x14ac:dyDescent="0.25">
      <c r="A80" s="27"/>
      <c r="B80" s="2"/>
      <c r="C80" s="2"/>
      <c r="D80" s="10" t="s">
        <v>708</v>
      </c>
      <c r="E80" s="10" t="s">
        <v>107</v>
      </c>
      <c r="F80" s="10" t="s">
        <v>4196</v>
      </c>
      <c r="G80" s="2"/>
      <c r="H80" s="2"/>
      <c r="I80" s="2"/>
      <c r="J80" s="4">
        <v>40821.74</v>
      </c>
    </row>
    <row r="81" spans="1:13" x14ac:dyDescent="0.25">
      <c r="A81" s="27"/>
      <c r="B81" s="2"/>
      <c r="C81" s="2"/>
      <c r="D81" s="10"/>
      <c r="E81" s="10"/>
      <c r="F81" s="10"/>
      <c r="G81" s="2"/>
      <c r="H81" s="2"/>
      <c r="I81" s="2"/>
      <c r="J81" s="4">
        <f t="shared" ref="J81:J84" si="17">H81+I81</f>
        <v>0</v>
      </c>
    </row>
    <row r="82" spans="1:13" x14ac:dyDescent="0.25">
      <c r="A82" s="27"/>
      <c r="B82" s="2"/>
      <c r="C82" s="2"/>
      <c r="D82" s="10"/>
      <c r="E82" s="10"/>
      <c r="F82" s="10"/>
      <c r="G82" s="2"/>
      <c r="H82" s="2"/>
      <c r="I82" s="2"/>
      <c r="J82" s="4">
        <f t="shared" si="17"/>
        <v>0</v>
      </c>
    </row>
    <row r="83" spans="1:13" x14ac:dyDescent="0.25">
      <c r="A83" s="27"/>
      <c r="B83" s="2"/>
      <c r="C83" s="2"/>
      <c r="D83" s="10"/>
      <c r="E83" s="10"/>
      <c r="F83" s="10"/>
      <c r="G83" s="2"/>
      <c r="H83" s="2"/>
      <c r="I83" s="2"/>
      <c r="J83" s="4">
        <f t="shared" si="17"/>
        <v>0</v>
      </c>
    </row>
    <row r="84" spans="1:13" x14ac:dyDescent="0.25">
      <c r="A84" s="27"/>
      <c r="B84" s="2"/>
      <c r="C84" s="2"/>
      <c r="D84" s="10"/>
      <c r="E84" s="10"/>
      <c r="F84" s="10"/>
      <c r="G84" s="2"/>
      <c r="H84" s="2"/>
      <c r="I84" s="2"/>
      <c r="J84" s="4">
        <f t="shared" si="17"/>
        <v>0</v>
      </c>
    </row>
    <row r="85" spans="1:13" x14ac:dyDescent="0.25">
      <c r="A85" s="27"/>
      <c r="B85" s="28" t="s">
        <v>34</v>
      </c>
      <c r="C85" s="29"/>
      <c r="D85" s="29"/>
      <c r="E85" s="29"/>
      <c r="F85" s="29"/>
      <c r="G85" s="29"/>
      <c r="H85" s="29"/>
      <c r="I85" s="29"/>
      <c r="J85" s="29"/>
    </row>
    <row r="86" spans="1:13" x14ac:dyDescent="0.25">
      <c r="A86" s="8"/>
      <c r="B86" s="9"/>
      <c r="C86" s="9"/>
      <c r="D86" s="9"/>
      <c r="E86" s="9"/>
      <c r="F86" s="9"/>
      <c r="G86" s="9"/>
      <c r="H86" s="11">
        <f>SUM(H79:H84)</f>
        <v>0</v>
      </c>
      <c r="I86" s="11">
        <f t="shared" ref="I86:J86" si="18">SUM(I79:I84)</f>
        <v>0</v>
      </c>
      <c r="J86" s="11">
        <f t="shared" si="18"/>
        <v>81643.48</v>
      </c>
    </row>
    <row r="87" spans="1:13" x14ac:dyDescent="0.25">
      <c r="A87" s="27" t="s">
        <v>18</v>
      </c>
      <c r="B87" s="2" t="s">
        <v>4198</v>
      </c>
      <c r="C87" s="2"/>
      <c r="D87" s="10" t="s">
        <v>406</v>
      </c>
      <c r="E87" s="10" t="s">
        <v>167</v>
      </c>
      <c r="F87" s="10" t="s">
        <v>405</v>
      </c>
      <c r="G87" s="2"/>
      <c r="H87" s="2"/>
      <c r="I87" s="2"/>
      <c r="J87" s="4">
        <v>2500</v>
      </c>
    </row>
    <row r="88" spans="1:13" x14ac:dyDescent="0.25">
      <c r="A88" s="27"/>
      <c r="B88" s="2" t="s">
        <v>4199</v>
      </c>
      <c r="C88" s="2"/>
      <c r="D88" s="10" t="s">
        <v>3290</v>
      </c>
      <c r="E88" s="10" t="s">
        <v>167</v>
      </c>
      <c r="F88" s="10" t="s">
        <v>405</v>
      </c>
      <c r="G88" s="2"/>
      <c r="H88" s="2"/>
      <c r="I88" s="2"/>
      <c r="J88" s="4">
        <v>2500</v>
      </c>
    </row>
    <row r="89" spans="1:13" x14ac:dyDescent="0.25">
      <c r="A89" s="27"/>
      <c r="B89" s="2" t="s">
        <v>4200</v>
      </c>
      <c r="C89" s="2"/>
      <c r="D89" s="10" t="s">
        <v>4070</v>
      </c>
      <c r="E89" s="10" t="s">
        <v>167</v>
      </c>
      <c r="F89" s="10" t="s">
        <v>405</v>
      </c>
      <c r="G89" s="2"/>
      <c r="H89" s="2"/>
      <c r="I89" s="2"/>
      <c r="J89" s="4">
        <v>2500</v>
      </c>
    </row>
    <row r="90" spans="1:13" x14ac:dyDescent="0.25">
      <c r="A90" s="27"/>
      <c r="B90" s="2" t="s">
        <v>4201</v>
      </c>
      <c r="C90" s="2"/>
      <c r="D90" s="10" t="s">
        <v>2433</v>
      </c>
      <c r="E90" s="10" t="s">
        <v>167</v>
      </c>
      <c r="F90" s="10" t="s">
        <v>405</v>
      </c>
      <c r="G90" s="2"/>
      <c r="H90" s="2"/>
      <c r="I90" s="2"/>
      <c r="J90" s="4">
        <v>29345.03</v>
      </c>
    </row>
    <row r="91" spans="1:13" x14ac:dyDescent="0.25">
      <c r="A91" s="27"/>
      <c r="B91" s="2" t="s">
        <v>4202</v>
      </c>
      <c r="C91" s="2"/>
      <c r="D91" s="10" t="s">
        <v>4078</v>
      </c>
      <c r="E91" s="10" t="s">
        <v>167</v>
      </c>
      <c r="F91" s="10" t="s">
        <v>405</v>
      </c>
      <c r="G91" s="2"/>
      <c r="H91" s="2"/>
      <c r="I91" s="2"/>
      <c r="J91" s="4">
        <v>5267.06</v>
      </c>
    </row>
    <row r="92" spans="1:13" x14ac:dyDescent="0.25">
      <c r="A92" s="27"/>
      <c r="B92" s="2" t="s">
        <v>4203</v>
      </c>
      <c r="C92" s="2"/>
      <c r="D92" s="10" t="s">
        <v>1604</v>
      </c>
      <c r="E92" s="10" t="s">
        <v>167</v>
      </c>
      <c r="F92" s="10" t="s">
        <v>405</v>
      </c>
      <c r="G92" s="2"/>
      <c r="H92" s="2"/>
      <c r="I92" s="2"/>
      <c r="J92" s="4">
        <v>69031.759999999995</v>
      </c>
    </row>
    <row r="93" spans="1:13" x14ac:dyDescent="0.25">
      <c r="A93" s="27"/>
      <c r="B93" s="2" t="s">
        <v>4204</v>
      </c>
      <c r="C93" s="2"/>
      <c r="D93" s="10" t="s">
        <v>864</v>
      </c>
      <c r="E93" s="10" t="s">
        <v>167</v>
      </c>
      <c r="F93" s="10" t="s">
        <v>405</v>
      </c>
      <c r="G93" s="2"/>
      <c r="H93" s="2"/>
      <c r="I93" s="2"/>
      <c r="J93" s="4">
        <v>63375.5</v>
      </c>
    </row>
    <row r="94" spans="1:13" x14ac:dyDescent="0.25">
      <c r="A94" s="27"/>
      <c r="B94" s="2" t="s">
        <v>4205</v>
      </c>
      <c r="C94" s="2"/>
      <c r="D94" s="10" t="s">
        <v>1390</v>
      </c>
      <c r="E94" s="10" t="s">
        <v>167</v>
      </c>
      <c r="F94" s="10" t="s">
        <v>405</v>
      </c>
      <c r="G94" s="2"/>
      <c r="H94" s="2"/>
      <c r="I94" s="2"/>
      <c r="J94" s="4">
        <v>7077.33</v>
      </c>
    </row>
    <row r="95" spans="1:13" x14ac:dyDescent="0.25">
      <c r="A95" s="27"/>
      <c r="B95" s="2" t="s">
        <v>4206</v>
      </c>
      <c r="C95" s="2"/>
      <c r="D95" s="10" t="s">
        <v>856</v>
      </c>
      <c r="E95" s="10" t="s">
        <v>167</v>
      </c>
      <c r="F95" s="10" t="s">
        <v>405</v>
      </c>
      <c r="G95" s="2"/>
      <c r="H95" s="2"/>
      <c r="I95" s="2"/>
      <c r="J95" s="4">
        <v>11543.04</v>
      </c>
      <c r="M95" s="22"/>
    </row>
    <row r="96" spans="1:13" x14ac:dyDescent="0.25">
      <c r="A96" s="27"/>
      <c r="B96" s="2" t="s">
        <v>4207</v>
      </c>
      <c r="C96" s="2"/>
      <c r="D96" s="10" t="s">
        <v>1861</v>
      </c>
      <c r="E96" s="10" t="s">
        <v>167</v>
      </c>
      <c r="F96" s="10" t="s">
        <v>405</v>
      </c>
      <c r="G96" s="2"/>
      <c r="H96" s="2"/>
      <c r="I96" s="2"/>
      <c r="J96" s="4">
        <v>2895.71</v>
      </c>
      <c r="M96" s="22"/>
    </row>
    <row r="97" spans="1:14" x14ac:dyDescent="0.25">
      <c r="A97" s="27"/>
      <c r="B97" s="2" t="s">
        <v>4198</v>
      </c>
      <c r="C97" s="2"/>
      <c r="D97" s="10" t="s">
        <v>406</v>
      </c>
      <c r="E97" s="10" t="s">
        <v>167</v>
      </c>
      <c r="F97" s="10" t="s">
        <v>405</v>
      </c>
      <c r="G97" s="2"/>
      <c r="H97" s="2"/>
      <c r="I97" s="2"/>
      <c r="J97" s="4">
        <v>3499.13</v>
      </c>
      <c r="M97" s="22"/>
    </row>
    <row r="98" spans="1:14" x14ac:dyDescent="0.25">
      <c r="A98" s="27"/>
      <c r="B98" s="2" t="s">
        <v>4208</v>
      </c>
      <c r="C98" s="2"/>
      <c r="D98" s="10" t="s">
        <v>3470</v>
      </c>
      <c r="E98" s="10" t="s">
        <v>167</v>
      </c>
      <c r="F98" s="10" t="s">
        <v>405</v>
      </c>
      <c r="G98" s="2"/>
      <c r="H98" s="2"/>
      <c r="I98" s="2"/>
      <c r="J98" s="4">
        <v>23447.759999999998</v>
      </c>
      <c r="M98" s="22"/>
    </row>
    <row r="99" spans="1:14" x14ac:dyDescent="0.25">
      <c r="A99" s="27"/>
      <c r="B99" s="2" t="s">
        <v>4209</v>
      </c>
      <c r="C99" s="2"/>
      <c r="D99" s="10" t="s">
        <v>2675</v>
      </c>
      <c r="E99" s="10" t="s">
        <v>167</v>
      </c>
      <c r="F99" s="10" t="s">
        <v>405</v>
      </c>
      <c r="G99" s="2"/>
      <c r="H99" s="2"/>
      <c r="I99" s="2"/>
      <c r="J99" s="4">
        <v>6470.29</v>
      </c>
      <c r="M99" s="22"/>
    </row>
    <row r="100" spans="1:14" x14ac:dyDescent="0.25">
      <c r="A100" s="27"/>
      <c r="B100" s="2" t="s">
        <v>4210</v>
      </c>
      <c r="C100" s="2"/>
      <c r="D100" s="10" t="s">
        <v>676</v>
      </c>
      <c r="E100" s="10" t="s">
        <v>167</v>
      </c>
      <c r="F100" s="10" t="s">
        <v>405</v>
      </c>
      <c r="G100" s="2"/>
      <c r="H100" s="2"/>
      <c r="I100" s="2"/>
      <c r="J100" s="4">
        <v>360.61</v>
      </c>
      <c r="M100" s="22"/>
    </row>
    <row r="101" spans="1:14" x14ac:dyDescent="0.25">
      <c r="A101" s="27"/>
      <c r="B101" s="2" t="s">
        <v>4211</v>
      </c>
      <c r="C101" s="2"/>
      <c r="D101" s="10" t="s">
        <v>2380</v>
      </c>
      <c r="E101" s="10" t="s">
        <v>167</v>
      </c>
      <c r="F101" s="10" t="s">
        <v>405</v>
      </c>
      <c r="G101" s="2"/>
      <c r="H101" s="2"/>
      <c r="I101" s="2"/>
      <c r="J101" s="4">
        <v>7548.5</v>
      </c>
      <c r="M101" s="22"/>
    </row>
    <row r="102" spans="1:14" x14ac:dyDescent="0.25">
      <c r="A102" s="27"/>
      <c r="B102" s="2" t="s">
        <v>4212</v>
      </c>
      <c r="C102" s="2"/>
      <c r="D102" s="10" t="s">
        <v>952</v>
      </c>
      <c r="E102" s="10" t="s">
        <v>167</v>
      </c>
      <c r="F102" s="10" t="s">
        <v>405</v>
      </c>
      <c r="G102" s="2"/>
      <c r="H102" s="2"/>
      <c r="I102" s="2"/>
      <c r="J102" s="4">
        <v>3831.87</v>
      </c>
      <c r="M102" s="22"/>
    </row>
    <row r="103" spans="1:14" x14ac:dyDescent="0.25">
      <c r="A103" s="27"/>
      <c r="B103" s="2" t="s">
        <v>4213</v>
      </c>
      <c r="C103" s="2"/>
      <c r="D103" s="10" t="s">
        <v>2808</v>
      </c>
      <c r="E103" s="10" t="s">
        <v>167</v>
      </c>
      <c r="F103" s="10" t="s">
        <v>405</v>
      </c>
      <c r="G103" s="2"/>
      <c r="H103" s="2"/>
      <c r="I103" s="2"/>
      <c r="J103" s="4">
        <v>5541.37</v>
      </c>
      <c r="N103"/>
    </row>
    <row r="104" spans="1:14" x14ac:dyDescent="0.25">
      <c r="A104" s="27"/>
      <c r="B104" s="2" t="s">
        <v>4200</v>
      </c>
      <c r="C104" s="2"/>
      <c r="D104" s="10" t="s">
        <v>4070</v>
      </c>
      <c r="E104" s="10" t="s">
        <v>167</v>
      </c>
      <c r="F104" s="10" t="s">
        <v>405</v>
      </c>
      <c r="G104" s="2"/>
      <c r="H104" s="2"/>
      <c r="I104" s="2"/>
      <c r="J104" s="4">
        <v>485.63</v>
      </c>
      <c r="N104"/>
    </row>
    <row r="105" spans="1:14" x14ac:dyDescent="0.25">
      <c r="A105" s="27"/>
      <c r="B105" s="2" t="s">
        <v>4199</v>
      </c>
      <c r="C105" s="2"/>
      <c r="D105" s="10" t="s">
        <v>3290</v>
      </c>
      <c r="E105" s="10" t="s">
        <v>167</v>
      </c>
      <c r="F105" s="10" t="s">
        <v>405</v>
      </c>
      <c r="G105" s="2"/>
      <c r="H105" s="2"/>
      <c r="I105" s="2"/>
      <c r="J105" s="4">
        <v>10096.99</v>
      </c>
      <c r="N105"/>
    </row>
    <row r="106" spans="1:14" x14ac:dyDescent="0.25">
      <c r="A106" s="27"/>
      <c r="B106" s="2" t="s">
        <v>4214</v>
      </c>
      <c r="C106" s="2"/>
      <c r="D106" s="10" t="s">
        <v>705</v>
      </c>
      <c r="E106" s="10" t="s">
        <v>167</v>
      </c>
      <c r="F106" s="10" t="s">
        <v>405</v>
      </c>
      <c r="G106" s="2"/>
      <c r="H106" s="2"/>
      <c r="I106" s="2"/>
      <c r="J106" s="4">
        <v>2288.67</v>
      </c>
      <c r="N106"/>
    </row>
    <row r="107" spans="1:14" x14ac:dyDescent="0.25">
      <c r="A107" s="27"/>
      <c r="B107" s="2" t="s">
        <v>4215</v>
      </c>
      <c r="C107" s="2"/>
      <c r="D107" s="10" t="s">
        <v>384</v>
      </c>
      <c r="E107" s="10" t="s">
        <v>167</v>
      </c>
      <c r="F107" s="10" t="s">
        <v>405</v>
      </c>
      <c r="G107" s="2"/>
      <c r="H107" s="2"/>
      <c r="I107" s="2"/>
      <c r="J107" s="4">
        <v>8536.77</v>
      </c>
      <c r="N107"/>
    </row>
    <row r="108" spans="1:14" x14ac:dyDescent="0.25">
      <c r="A108" s="27"/>
      <c r="B108" s="2" t="s">
        <v>4216</v>
      </c>
      <c r="C108" s="2"/>
      <c r="D108" s="10" t="s">
        <v>2462</v>
      </c>
      <c r="E108" s="10" t="s">
        <v>167</v>
      </c>
      <c r="F108" s="10" t="s">
        <v>405</v>
      </c>
      <c r="G108" s="2"/>
      <c r="H108" s="2"/>
      <c r="I108" s="2"/>
      <c r="J108" s="4">
        <v>21308.37</v>
      </c>
      <c r="N108"/>
    </row>
    <row r="109" spans="1:14" x14ac:dyDescent="0.25">
      <c r="A109" s="27"/>
      <c r="B109" s="2" t="s">
        <v>4217</v>
      </c>
      <c r="C109" s="2"/>
      <c r="D109" s="10" t="s">
        <v>3253</v>
      </c>
      <c r="E109" s="10" t="s">
        <v>167</v>
      </c>
      <c r="F109" s="10" t="s">
        <v>405</v>
      </c>
      <c r="G109" s="2"/>
      <c r="H109" s="2"/>
      <c r="I109" s="2"/>
      <c r="J109" s="4">
        <v>4785.05</v>
      </c>
      <c r="N109"/>
    </row>
    <row r="110" spans="1:14" x14ac:dyDescent="0.25">
      <c r="A110" s="27"/>
      <c r="B110" s="2" t="s">
        <v>4218</v>
      </c>
      <c r="C110" s="2"/>
      <c r="D110" s="10" t="s">
        <v>3857</v>
      </c>
      <c r="E110" s="10" t="s">
        <v>167</v>
      </c>
      <c r="F110" s="10" t="s">
        <v>405</v>
      </c>
      <c r="G110" s="2"/>
      <c r="H110" s="2"/>
      <c r="I110" s="2"/>
      <c r="J110" s="4">
        <v>360.61</v>
      </c>
      <c r="N110"/>
    </row>
    <row r="111" spans="1:14" x14ac:dyDescent="0.25">
      <c r="A111" s="27"/>
      <c r="B111" s="2" t="s">
        <v>4219</v>
      </c>
      <c r="C111" s="2"/>
      <c r="D111" s="10" t="s">
        <v>4155</v>
      </c>
      <c r="E111" s="10" t="s">
        <v>167</v>
      </c>
      <c r="F111" s="10" t="s">
        <v>405</v>
      </c>
      <c r="G111" s="2"/>
      <c r="H111" s="2"/>
      <c r="I111" s="2"/>
      <c r="J111" s="4">
        <v>4941.5600000000004</v>
      </c>
      <c r="N111"/>
    </row>
    <row r="112" spans="1:14" x14ac:dyDescent="0.25">
      <c r="A112" s="27"/>
      <c r="B112" s="2" t="s">
        <v>4220</v>
      </c>
      <c r="C112" s="2"/>
      <c r="D112" s="10" t="s">
        <v>389</v>
      </c>
      <c r="E112" s="10" t="s">
        <v>167</v>
      </c>
      <c r="F112" s="10" t="s">
        <v>405</v>
      </c>
      <c r="G112" s="2"/>
      <c r="H112" s="2"/>
      <c r="I112" s="2"/>
      <c r="J112" s="4">
        <v>7680.76</v>
      </c>
      <c r="N112"/>
    </row>
    <row r="113" spans="1:14" x14ac:dyDescent="0.25">
      <c r="A113" s="27"/>
      <c r="B113" s="2" t="s">
        <v>4221</v>
      </c>
      <c r="C113" s="2"/>
      <c r="D113" s="10" t="s">
        <v>1974</v>
      </c>
      <c r="E113" s="10" t="s">
        <v>167</v>
      </c>
      <c r="F113" s="10" t="s">
        <v>405</v>
      </c>
      <c r="G113" s="2"/>
      <c r="H113" s="2"/>
      <c r="I113" s="2"/>
      <c r="J113" s="4">
        <v>14236.81</v>
      </c>
      <c r="N113"/>
    </row>
    <row r="114" spans="1:14" x14ac:dyDescent="0.25">
      <c r="A114" s="27"/>
      <c r="B114" s="2" t="s">
        <v>4222</v>
      </c>
      <c r="C114" s="2"/>
      <c r="D114" s="10" t="s">
        <v>3515</v>
      </c>
      <c r="E114" s="10" t="s">
        <v>167</v>
      </c>
      <c r="F114" s="10" t="s">
        <v>405</v>
      </c>
      <c r="G114" s="2"/>
      <c r="H114" s="2"/>
      <c r="I114" s="2"/>
      <c r="J114" s="4">
        <v>15270.51</v>
      </c>
      <c r="N114"/>
    </row>
    <row r="115" spans="1:14" x14ac:dyDescent="0.25">
      <c r="A115" s="27"/>
      <c r="B115" s="2"/>
      <c r="C115" s="2"/>
      <c r="D115" s="10"/>
      <c r="E115" s="10"/>
      <c r="F115" s="10"/>
      <c r="G115" s="2"/>
      <c r="H115" s="2"/>
      <c r="I115" s="2"/>
      <c r="J115" s="4"/>
      <c r="N115"/>
    </row>
    <row r="116" spans="1:14" x14ac:dyDescent="0.25">
      <c r="A116" s="27"/>
      <c r="B116" s="2"/>
      <c r="C116" s="2"/>
      <c r="D116" s="10"/>
      <c r="E116" s="10"/>
      <c r="F116" s="10"/>
      <c r="G116" s="2"/>
      <c r="H116" s="2"/>
      <c r="I116" s="2"/>
      <c r="J116" s="4">
        <f t="shared" ref="J116" si="19">H116+I116</f>
        <v>0</v>
      </c>
      <c r="N116"/>
    </row>
    <row r="117" spans="1:14" x14ac:dyDescent="0.25">
      <c r="A117" s="27"/>
      <c r="B117" s="28" t="s">
        <v>34</v>
      </c>
      <c r="C117" s="29"/>
      <c r="D117" s="29"/>
      <c r="E117" s="29"/>
      <c r="F117" s="29"/>
      <c r="G117" s="29"/>
      <c r="H117" s="29"/>
      <c r="I117" s="29"/>
      <c r="J117" s="29"/>
    </row>
    <row r="118" spans="1:14" x14ac:dyDescent="0.25">
      <c r="A118" s="8"/>
      <c r="B118" s="9"/>
      <c r="C118" s="9"/>
      <c r="D118" s="9"/>
      <c r="E118" s="9"/>
      <c r="F118" s="9"/>
      <c r="G118" s="9"/>
      <c r="H118" s="11">
        <f>SUM(H87:H116)</f>
        <v>0</v>
      </c>
      <c r="I118" s="11">
        <f t="shared" ref="I118:J118" si="20">SUM(I87:I116)</f>
        <v>0</v>
      </c>
      <c r="J118" s="11">
        <f t="shared" si="20"/>
        <v>336726.68999999994</v>
      </c>
    </row>
    <row r="119" spans="1:14" x14ac:dyDescent="0.25">
      <c r="A119" s="27" t="s">
        <v>19</v>
      </c>
      <c r="B119" s="2"/>
      <c r="C119" s="2"/>
      <c r="D119" s="10"/>
      <c r="E119" s="10"/>
      <c r="F119" s="10"/>
      <c r="G119" s="2"/>
      <c r="H119" s="2"/>
      <c r="I119" s="2"/>
      <c r="J119" s="4">
        <f>H119+I119</f>
        <v>0</v>
      </c>
    </row>
    <row r="120" spans="1:14" x14ac:dyDescent="0.25">
      <c r="A120" s="27"/>
      <c r="B120" s="2"/>
      <c r="C120" s="2"/>
      <c r="D120" s="10"/>
      <c r="E120" s="10"/>
      <c r="F120" s="10"/>
      <c r="G120" s="2"/>
      <c r="H120" s="2"/>
      <c r="I120" s="2"/>
      <c r="J120" s="4">
        <f t="shared" ref="J120:J124" si="21">H120+I120</f>
        <v>0</v>
      </c>
    </row>
    <row r="121" spans="1:14" x14ac:dyDescent="0.25">
      <c r="A121" s="27"/>
      <c r="B121" s="2"/>
      <c r="C121" s="2"/>
      <c r="D121" s="10"/>
      <c r="E121" s="10"/>
      <c r="F121" s="10"/>
      <c r="G121" s="2"/>
      <c r="H121" s="2"/>
      <c r="I121" s="2"/>
      <c r="J121" s="4">
        <f t="shared" si="21"/>
        <v>0</v>
      </c>
    </row>
    <row r="122" spans="1:14" x14ac:dyDescent="0.25">
      <c r="A122" s="27"/>
      <c r="B122" s="2"/>
      <c r="C122" s="2"/>
      <c r="D122" s="10"/>
      <c r="E122" s="10"/>
      <c r="F122" s="10"/>
      <c r="G122" s="2"/>
      <c r="H122" s="2"/>
      <c r="I122" s="2"/>
      <c r="J122" s="4">
        <f t="shared" si="21"/>
        <v>0</v>
      </c>
    </row>
    <row r="123" spans="1:14" x14ac:dyDescent="0.25">
      <c r="A123" s="27"/>
      <c r="B123" s="2"/>
      <c r="C123" s="2"/>
      <c r="D123" s="10"/>
      <c r="E123" s="10"/>
      <c r="F123" s="10"/>
      <c r="G123" s="2"/>
      <c r="H123" s="2"/>
      <c r="I123" s="2"/>
      <c r="J123" s="4">
        <f t="shared" si="21"/>
        <v>0</v>
      </c>
    </row>
    <row r="124" spans="1:14" x14ac:dyDescent="0.25">
      <c r="A124" s="27"/>
      <c r="B124" s="2"/>
      <c r="C124" s="2"/>
      <c r="D124" s="10"/>
      <c r="E124" s="10"/>
      <c r="F124" s="10"/>
      <c r="G124" s="2"/>
      <c r="H124" s="2"/>
      <c r="I124" s="2"/>
      <c r="J124" s="4">
        <f t="shared" si="21"/>
        <v>0</v>
      </c>
    </row>
    <row r="125" spans="1:14" x14ac:dyDescent="0.25">
      <c r="A125" s="27"/>
      <c r="B125" s="28" t="s">
        <v>34</v>
      </c>
      <c r="C125" s="29"/>
      <c r="D125" s="29"/>
      <c r="E125" s="29"/>
      <c r="F125" s="29"/>
      <c r="G125" s="29"/>
      <c r="H125" s="29"/>
      <c r="I125" s="29"/>
      <c r="J125" s="29"/>
    </row>
    <row r="126" spans="1:14" x14ac:dyDescent="0.25">
      <c r="A126" s="8"/>
      <c r="B126" s="9"/>
      <c r="C126" s="9"/>
      <c r="D126" s="9"/>
      <c r="E126" s="9"/>
      <c r="F126" s="9"/>
      <c r="G126" s="9"/>
      <c r="H126" s="11">
        <f>SUM(H119:H124)</f>
        <v>0</v>
      </c>
      <c r="I126" s="11">
        <f t="shared" ref="I126:J126" si="22">SUM(I119:I124)</f>
        <v>0</v>
      </c>
      <c r="J126" s="11">
        <f t="shared" si="22"/>
        <v>0</v>
      </c>
    </row>
    <row r="127" spans="1:14" x14ac:dyDescent="0.25">
      <c r="A127" s="27" t="s">
        <v>20</v>
      </c>
      <c r="B127" s="2"/>
      <c r="C127" s="2"/>
      <c r="D127" s="10"/>
      <c r="E127" s="10"/>
      <c r="F127" s="10"/>
      <c r="G127" s="2"/>
      <c r="H127" s="2"/>
      <c r="I127" s="2"/>
      <c r="J127" s="4">
        <f>H127+I127</f>
        <v>0</v>
      </c>
    </row>
    <row r="128" spans="1:14" x14ac:dyDescent="0.25">
      <c r="A128" s="27"/>
      <c r="B128" s="2"/>
      <c r="C128" s="2"/>
      <c r="D128" s="10"/>
      <c r="E128" s="10"/>
      <c r="F128" s="10"/>
      <c r="G128" s="2"/>
      <c r="H128" s="2"/>
      <c r="I128" s="2"/>
      <c r="J128" s="4">
        <f t="shared" ref="J128:J132" si="23">H128+I128</f>
        <v>0</v>
      </c>
    </row>
    <row r="129" spans="1:10" x14ac:dyDescent="0.25">
      <c r="A129" s="27"/>
      <c r="B129" s="2"/>
      <c r="C129" s="2"/>
      <c r="D129" s="10"/>
      <c r="E129" s="10"/>
      <c r="F129" s="10"/>
      <c r="G129" s="2"/>
      <c r="H129" s="2"/>
      <c r="I129" s="2"/>
      <c r="J129" s="4">
        <f t="shared" si="23"/>
        <v>0</v>
      </c>
    </row>
    <row r="130" spans="1:10" x14ac:dyDescent="0.25">
      <c r="A130" s="27"/>
      <c r="B130" s="2"/>
      <c r="C130" s="2"/>
      <c r="D130" s="10"/>
      <c r="E130" s="10"/>
      <c r="F130" s="10"/>
      <c r="G130" s="2"/>
      <c r="H130" s="2"/>
      <c r="I130" s="2"/>
      <c r="J130" s="4">
        <f t="shared" si="23"/>
        <v>0</v>
      </c>
    </row>
    <row r="131" spans="1:10" x14ac:dyDescent="0.25">
      <c r="A131" s="27"/>
      <c r="B131" s="2"/>
      <c r="C131" s="2"/>
      <c r="D131" s="10"/>
      <c r="E131" s="10"/>
      <c r="F131" s="10"/>
      <c r="G131" s="2"/>
      <c r="H131" s="2"/>
      <c r="I131" s="2"/>
      <c r="J131" s="4">
        <f t="shared" si="23"/>
        <v>0</v>
      </c>
    </row>
    <row r="132" spans="1:10" x14ac:dyDescent="0.25">
      <c r="A132" s="27"/>
      <c r="B132" s="2"/>
      <c r="C132" s="2"/>
      <c r="D132" s="10"/>
      <c r="E132" s="10"/>
      <c r="F132" s="10"/>
      <c r="G132" s="2"/>
      <c r="H132" s="2"/>
      <c r="I132" s="2"/>
      <c r="J132" s="4">
        <f t="shared" si="23"/>
        <v>0</v>
      </c>
    </row>
    <row r="133" spans="1:10" x14ac:dyDescent="0.25">
      <c r="A133" s="27"/>
      <c r="B133" s="28" t="s">
        <v>34</v>
      </c>
      <c r="C133" s="29"/>
      <c r="D133" s="29"/>
      <c r="E133" s="29"/>
      <c r="F133" s="29"/>
      <c r="G133" s="29"/>
      <c r="H133" s="29"/>
      <c r="I133" s="29"/>
      <c r="J133" s="29"/>
    </row>
    <row r="134" spans="1:10" x14ac:dyDescent="0.25">
      <c r="A134" s="8"/>
      <c r="B134" s="9"/>
      <c r="C134" s="9"/>
      <c r="D134" s="9"/>
      <c r="E134" s="9"/>
      <c r="F134" s="9"/>
      <c r="G134" s="9"/>
      <c r="H134" s="11">
        <f>SUM(H127:H132)</f>
        <v>0</v>
      </c>
      <c r="I134" s="11">
        <f t="shared" ref="I134:J134" si="24">SUM(I127:I132)</f>
        <v>0</v>
      </c>
      <c r="J134" s="11">
        <f t="shared" si="24"/>
        <v>0</v>
      </c>
    </row>
    <row r="135" spans="1:10" x14ac:dyDescent="0.25">
      <c r="A135" s="27" t="s">
        <v>21</v>
      </c>
      <c r="B135" s="2" t="str">
        <f>"1649363342"</f>
        <v>1649363342</v>
      </c>
      <c r="C135" s="2"/>
      <c r="D135" s="10" t="s">
        <v>4033</v>
      </c>
      <c r="E135" s="10" t="s">
        <v>167</v>
      </c>
      <c r="F135" s="10" t="s">
        <v>373</v>
      </c>
      <c r="G135" s="2"/>
      <c r="H135" s="2"/>
      <c r="I135" s="2"/>
      <c r="J135" s="4">
        <v>60896.29</v>
      </c>
    </row>
    <row r="136" spans="1:10" x14ac:dyDescent="0.25">
      <c r="A136" s="27"/>
      <c r="B136" s="2"/>
      <c r="C136" s="2"/>
      <c r="D136" s="10"/>
      <c r="E136" s="10"/>
      <c r="F136" s="10"/>
      <c r="G136" s="2"/>
      <c r="H136" s="2"/>
      <c r="I136" s="2"/>
      <c r="J136" s="4">
        <f t="shared" ref="J136:J140" si="25">H136+I136</f>
        <v>0</v>
      </c>
    </row>
    <row r="137" spans="1:10" x14ac:dyDescent="0.25">
      <c r="A137" s="27"/>
      <c r="B137" s="2"/>
      <c r="C137" s="2"/>
      <c r="D137" s="10"/>
      <c r="E137" s="10"/>
      <c r="F137" s="10"/>
      <c r="G137" s="2"/>
      <c r="H137" s="2"/>
      <c r="I137" s="2"/>
      <c r="J137" s="4">
        <f t="shared" si="25"/>
        <v>0</v>
      </c>
    </row>
    <row r="138" spans="1:10" x14ac:dyDescent="0.25">
      <c r="A138" s="27"/>
      <c r="B138" s="2"/>
      <c r="C138" s="2"/>
      <c r="D138" s="10"/>
      <c r="E138" s="10"/>
      <c r="F138" s="10"/>
      <c r="G138" s="2"/>
      <c r="H138" s="2"/>
      <c r="I138" s="2"/>
      <c r="J138" s="4">
        <f t="shared" si="25"/>
        <v>0</v>
      </c>
    </row>
    <row r="139" spans="1:10" x14ac:dyDescent="0.25">
      <c r="A139" s="27"/>
      <c r="B139" s="2"/>
      <c r="C139" s="2"/>
      <c r="D139" s="10"/>
      <c r="E139" s="10"/>
      <c r="F139" s="10"/>
      <c r="G139" s="2"/>
      <c r="H139" s="2"/>
      <c r="I139" s="2"/>
      <c r="J139" s="4">
        <f t="shared" si="25"/>
        <v>0</v>
      </c>
    </row>
    <row r="140" spans="1:10" x14ac:dyDescent="0.25">
      <c r="A140" s="27"/>
      <c r="B140" s="2"/>
      <c r="C140" s="2"/>
      <c r="D140" s="10"/>
      <c r="E140" s="10"/>
      <c r="F140" s="10"/>
      <c r="G140" s="2"/>
      <c r="H140" s="2"/>
      <c r="I140" s="2"/>
      <c r="J140" s="4">
        <f t="shared" si="25"/>
        <v>0</v>
      </c>
    </row>
    <row r="141" spans="1:10" x14ac:dyDescent="0.25">
      <c r="A141" s="27"/>
      <c r="B141" s="28" t="s">
        <v>34</v>
      </c>
      <c r="C141" s="29"/>
      <c r="D141" s="29"/>
      <c r="E141" s="29"/>
      <c r="F141" s="29"/>
      <c r="G141" s="29"/>
      <c r="H141" s="29"/>
      <c r="I141" s="29"/>
      <c r="J141" s="29"/>
    </row>
    <row r="142" spans="1:10" x14ac:dyDescent="0.25">
      <c r="A142" s="8"/>
      <c r="B142" s="9"/>
      <c r="C142" s="9"/>
      <c r="D142" s="9"/>
      <c r="E142" s="9"/>
      <c r="F142" s="9"/>
      <c r="G142" s="9"/>
      <c r="H142" s="11">
        <f>SUM(H135:H140)</f>
        <v>0</v>
      </c>
      <c r="I142" s="11">
        <f t="shared" ref="I142:J142" si="26">SUM(I135:I140)</f>
        <v>0</v>
      </c>
      <c r="J142" s="11">
        <f t="shared" si="26"/>
        <v>60896.29</v>
      </c>
    </row>
    <row r="143" spans="1:10" x14ac:dyDescent="0.25">
      <c r="A143" s="27" t="s">
        <v>23</v>
      </c>
      <c r="B143" s="2"/>
      <c r="C143" s="2"/>
      <c r="D143" s="10"/>
      <c r="E143" s="10"/>
      <c r="F143" s="10"/>
      <c r="G143" s="2"/>
      <c r="H143" s="2"/>
      <c r="I143" s="2"/>
      <c r="J143" s="4">
        <f>H143+I143</f>
        <v>0</v>
      </c>
    </row>
    <row r="144" spans="1:10" x14ac:dyDescent="0.25">
      <c r="A144" s="27"/>
      <c r="B144" s="2"/>
      <c r="C144" s="2"/>
      <c r="D144" s="10"/>
      <c r="E144" s="10"/>
      <c r="F144" s="10"/>
      <c r="G144" s="2"/>
      <c r="H144" s="2"/>
      <c r="I144" s="2"/>
      <c r="J144" s="4">
        <f t="shared" ref="J144:J148" si="27">H144+I144</f>
        <v>0</v>
      </c>
    </row>
    <row r="145" spans="1:10" x14ac:dyDescent="0.25">
      <c r="A145" s="27"/>
      <c r="B145" s="2"/>
      <c r="C145" s="2"/>
      <c r="D145" s="10"/>
      <c r="E145" s="10"/>
      <c r="F145" s="10"/>
      <c r="G145" s="2"/>
      <c r="H145" s="2"/>
      <c r="I145" s="2"/>
      <c r="J145" s="4">
        <f t="shared" si="27"/>
        <v>0</v>
      </c>
    </row>
    <row r="146" spans="1:10" x14ac:dyDescent="0.25">
      <c r="A146" s="27"/>
      <c r="B146" s="2"/>
      <c r="C146" s="2"/>
      <c r="D146" s="10"/>
      <c r="E146" s="10"/>
      <c r="F146" s="10"/>
      <c r="G146" s="2"/>
      <c r="H146" s="2"/>
      <c r="I146" s="2"/>
      <c r="J146" s="4">
        <f t="shared" si="27"/>
        <v>0</v>
      </c>
    </row>
    <row r="147" spans="1:10" x14ac:dyDescent="0.25">
      <c r="A147" s="27"/>
      <c r="B147" s="2"/>
      <c r="C147" s="2"/>
      <c r="D147" s="10"/>
      <c r="E147" s="10"/>
      <c r="F147" s="10"/>
      <c r="G147" s="2"/>
      <c r="H147" s="2"/>
      <c r="I147" s="2"/>
      <c r="J147" s="4">
        <f t="shared" si="27"/>
        <v>0</v>
      </c>
    </row>
    <row r="148" spans="1:10" x14ac:dyDescent="0.25">
      <c r="A148" s="27"/>
      <c r="B148" s="2"/>
      <c r="C148" s="2"/>
      <c r="D148" s="10"/>
      <c r="E148" s="10"/>
      <c r="F148" s="10"/>
      <c r="G148" s="2"/>
      <c r="H148" s="2"/>
      <c r="I148" s="2"/>
      <c r="J148" s="4">
        <f t="shared" si="27"/>
        <v>0</v>
      </c>
    </row>
    <row r="149" spans="1:10" x14ac:dyDescent="0.25">
      <c r="A149" s="27"/>
      <c r="B149" s="28" t="s">
        <v>34</v>
      </c>
      <c r="C149" s="29"/>
      <c r="D149" s="29"/>
      <c r="E149" s="29"/>
      <c r="F149" s="29"/>
      <c r="G149" s="29"/>
      <c r="H149" s="29"/>
      <c r="I149" s="29"/>
      <c r="J149" s="29"/>
    </row>
    <row r="150" spans="1:10" x14ac:dyDescent="0.25">
      <c r="A150" s="8"/>
      <c r="B150" s="9"/>
      <c r="C150" s="9"/>
      <c r="D150" s="9"/>
      <c r="E150" s="9"/>
      <c r="F150" s="9"/>
      <c r="G150" s="9"/>
      <c r="H150" s="11">
        <f>SUM(H143:H148)</f>
        <v>0</v>
      </c>
      <c r="I150" s="11">
        <f t="shared" ref="I150:J150" si="28">SUM(I143:I148)</f>
        <v>0</v>
      </c>
      <c r="J150" s="11">
        <f t="shared" si="28"/>
        <v>0</v>
      </c>
    </row>
    <row r="151" spans="1:10" x14ac:dyDescent="0.25">
      <c r="A151" s="27" t="s">
        <v>24</v>
      </c>
      <c r="B151" s="2"/>
      <c r="C151" s="2"/>
      <c r="D151" s="10"/>
      <c r="E151" s="10"/>
      <c r="F151" s="10"/>
      <c r="G151" s="2"/>
      <c r="H151" s="2"/>
      <c r="I151" s="2"/>
      <c r="J151" s="4">
        <f>H151+I151</f>
        <v>0</v>
      </c>
    </row>
    <row r="152" spans="1:10" x14ac:dyDescent="0.25">
      <c r="A152" s="27"/>
      <c r="B152" s="2"/>
      <c r="C152" s="2"/>
      <c r="D152" s="10"/>
      <c r="E152" s="10"/>
      <c r="F152" s="10"/>
      <c r="G152" s="2"/>
      <c r="H152" s="2"/>
      <c r="I152" s="2"/>
      <c r="J152" s="4">
        <f t="shared" ref="J152:J156" si="29">H152+I152</f>
        <v>0</v>
      </c>
    </row>
    <row r="153" spans="1:10" x14ac:dyDescent="0.25">
      <c r="A153" s="27"/>
      <c r="B153" s="2"/>
      <c r="C153" s="2"/>
      <c r="D153" s="10"/>
      <c r="E153" s="10"/>
      <c r="F153" s="10"/>
      <c r="G153" s="2"/>
      <c r="H153" s="2"/>
      <c r="I153" s="2"/>
      <c r="J153" s="4">
        <f t="shared" si="29"/>
        <v>0</v>
      </c>
    </row>
    <row r="154" spans="1:10" x14ac:dyDescent="0.25">
      <c r="A154" s="27"/>
      <c r="B154" s="2"/>
      <c r="C154" s="2"/>
      <c r="D154" s="10"/>
      <c r="E154" s="10"/>
      <c r="F154" s="10"/>
      <c r="G154" s="2"/>
      <c r="H154" s="2"/>
      <c r="I154" s="2"/>
      <c r="J154" s="4">
        <f t="shared" si="29"/>
        <v>0</v>
      </c>
    </row>
    <row r="155" spans="1:10" x14ac:dyDescent="0.25">
      <c r="A155" s="27"/>
      <c r="B155" s="2"/>
      <c r="C155" s="2"/>
      <c r="D155" s="10"/>
      <c r="E155" s="10"/>
      <c r="F155" s="10"/>
      <c r="G155" s="2"/>
      <c r="H155" s="2"/>
      <c r="I155" s="2"/>
      <c r="J155" s="4">
        <f t="shared" si="29"/>
        <v>0</v>
      </c>
    </row>
    <row r="156" spans="1:10" x14ac:dyDescent="0.25">
      <c r="A156" s="27"/>
      <c r="B156" s="2"/>
      <c r="C156" s="2"/>
      <c r="D156" s="10"/>
      <c r="E156" s="10"/>
      <c r="F156" s="10"/>
      <c r="G156" s="2"/>
      <c r="H156" s="2"/>
      <c r="I156" s="2"/>
      <c r="J156" s="4">
        <f t="shared" si="29"/>
        <v>0</v>
      </c>
    </row>
    <row r="157" spans="1:10" x14ac:dyDescent="0.25">
      <c r="A157" s="27"/>
      <c r="B157" s="28" t="s">
        <v>34</v>
      </c>
      <c r="C157" s="29"/>
      <c r="D157" s="29"/>
      <c r="E157" s="29"/>
      <c r="F157" s="29"/>
      <c r="G157" s="29"/>
      <c r="H157" s="29"/>
      <c r="I157" s="29"/>
      <c r="J157" s="29"/>
    </row>
    <row r="158" spans="1:10" x14ac:dyDescent="0.25">
      <c r="A158" s="8"/>
      <c r="B158" s="9"/>
      <c r="C158" s="9"/>
      <c r="D158" s="9"/>
      <c r="E158" s="9"/>
      <c r="F158" s="9"/>
      <c r="G158" s="9"/>
      <c r="H158" s="11">
        <f>SUM(H151:H156)</f>
        <v>0</v>
      </c>
      <c r="I158" s="11">
        <f t="shared" ref="I158:J158" si="30">SUM(I151:I156)</f>
        <v>0</v>
      </c>
      <c r="J158" s="11">
        <f t="shared" si="30"/>
        <v>0</v>
      </c>
    </row>
    <row r="159" spans="1:10" x14ac:dyDescent="0.25">
      <c r="A159" s="27" t="s">
        <v>24</v>
      </c>
      <c r="B159" s="2"/>
      <c r="C159" s="2"/>
      <c r="D159" s="10"/>
      <c r="E159" s="10"/>
      <c r="F159" s="10"/>
      <c r="G159" s="2"/>
      <c r="H159" s="2"/>
      <c r="I159" s="2"/>
      <c r="J159" s="4">
        <f>H159+I159</f>
        <v>0</v>
      </c>
    </row>
    <row r="160" spans="1:10" x14ac:dyDescent="0.25">
      <c r="A160" s="27"/>
      <c r="B160" s="2"/>
      <c r="C160" s="2"/>
      <c r="D160" s="10"/>
      <c r="E160" s="10"/>
      <c r="F160" s="10"/>
      <c r="G160" s="2"/>
      <c r="H160" s="2"/>
      <c r="I160" s="2"/>
      <c r="J160" s="4">
        <f t="shared" ref="J160:J164" si="31">H160+I160</f>
        <v>0</v>
      </c>
    </row>
    <row r="161" spans="1:10" x14ac:dyDescent="0.25">
      <c r="A161" s="27"/>
      <c r="B161" s="2"/>
      <c r="C161" s="2"/>
      <c r="D161" s="10"/>
      <c r="E161" s="10"/>
      <c r="F161" s="10"/>
      <c r="G161" s="2"/>
      <c r="H161" s="2"/>
      <c r="I161" s="2"/>
      <c r="J161" s="4">
        <f t="shared" si="31"/>
        <v>0</v>
      </c>
    </row>
    <row r="162" spans="1:10" x14ac:dyDescent="0.25">
      <c r="A162" s="27"/>
      <c r="B162" s="2"/>
      <c r="C162" s="2"/>
      <c r="D162" s="10"/>
      <c r="E162" s="10"/>
      <c r="F162" s="10"/>
      <c r="G162" s="2"/>
      <c r="H162" s="2"/>
      <c r="I162" s="2"/>
      <c r="J162" s="4">
        <f t="shared" si="31"/>
        <v>0</v>
      </c>
    </row>
    <row r="163" spans="1:10" x14ac:dyDescent="0.25">
      <c r="A163" s="27"/>
      <c r="B163" s="2"/>
      <c r="C163" s="2"/>
      <c r="D163" s="10"/>
      <c r="E163" s="10"/>
      <c r="F163" s="10"/>
      <c r="G163" s="2"/>
      <c r="H163" s="2"/>
      <c r="I163" s="2"/>
      <c r="J163" s="4">
        <f t="shared" si="31"/>
        <v>0</v>
      </c>
    </row>
    <row r="164" spans="1:10" x14ac:dyDescent="0.25">
      <c r="A164" s="27"/>
      <c r="B164" s="2"/>
      <c r="C164" s="2"/>
      <c r="D164" s="10"/>
      <c r="E164" s="10"/>
      <c r="F164" s="10"/>
      <c r="G164" s="2"/>
      <c r="H164" s="2"/>
      <c r="I164" s="2"/>
      <c r="J164" s="4">
        <f t="shared" si="31"/>
        <v>0</v>
      </c>
    </row>
    <row r="165" spans="1:10" x14ac:dyDescent="0.25">
      <c r="A165" s="27"/>
      <c r="B165" s="28" t="s">
        <v>34</v>
      </c>
      <c r="C165" s="29"/>
      <c r="D165" s="29"/>
      <c r="E165" s="29"/>
      <c r="F165" s="29"/>
      <c r="G165" s="29"/>
      <c r="H165" s="29"/>
      <c r="I165" s="29"/>
      <c r="J165" s="29"/>
    </row>
    <row r="166" spans="1:10" x14ac:dyDescent="0.25">
      <c r="A166" s="8"/>
      <c r="B166" s="9"/>
      <c r="C166" s="9"/>
      <c r="D166" s="9"/>
      <c r="E166" s="9"/>
      <c r="F166" s="9"/>
      <c r="G166" s="9"/>
      <c r="H166" s="11">
        <f>SUM(H159:H164)</f>
        <v>0</v>
      </c>
      <c r="I166" s="11">
        <f t="shared" ref="I166:J166" si="32">SUM(I159:I164)</f>
        <v>0</v>
      </c>
      <c r="J166" s="11">
        <f t="shared" si="32"/>
        <v>0</v>
      </c>
    </row>
    <row r="167" spans="1:10" x14ac:dyDescent="0.25">
      <c r="A167" s="27" t="s">
        <v>24</v>
      </c>
      <c r="B167" s="2"/>
      <c r="C167" s="2"/>
      <c r="D167" s="10"/>
      <c r="E167" s="10"/>
      <c r="F167" s="10"/>
      <c r="G167" s="2"/>
      <c r="H167" s="2"/>
      <c r="I167" s="2"/>
      <c r="J167" s="4">
        <f>H167+I167</f>
        <v>0</v>
      </c>
    </row>
    <row r="168" spans="1:10" x14ac:dyDescent="0.25">
      <c r="A168" s="27"/>
      <c r="B168" s="2"/>
      <c r="C168" s="2"/>
      <c r="D168" s="10"/>
      <c r="E168" s="10"/>
      <c r="F168" s="10"/>
      <c r="G168" s="2"/>
      <c r="H168" s="2"/>
      <c r="I168" s="2"/>
      <c r="J168" s="4">
        <f t="shared" ref="J168:J172" si="33">H168+I168</f>
        <v>0</v>
      </c>
    </row>
    <row r="169" spans="1:10" x14ac:dyDescent="0.25">
      <c r="A169" s="27"/>
      <c r="B169" s="2"/>
      <c r="C169" s="2"/>
      <c r="D169" s="10"/>
      <c r="E169" s="10"/>
      <c r="F169" s="10"/>
      <c r="G169" s="2"/>
      <c r="H169" s="2"/>
      <c r="I169" s="2"/>
      <c r="J169" s="4">
        <f t="shared" si="33"/>
        <v>0</v>
      </c>
    </row>
    <row r="170" spans="1:10" x14ac:dyDescent="0.25">
      <c r="A170" s="27"/>
      <c r="B170" s="2"/>
      <c r="C170" s="2"/>
      <c r="D170" s="10"/>
      <c r="E170" s="10"/>
      <c r="F170" s="10"/>
      <c r="G170" s="2"/>
      <c r="H170" s="2"/>
      <c r="I170" s="2"/>
      <c r="J170" s="4">
        <f t="shared" si="33"/>
        <v>0</v>
      </c>
    </row>
    <row r="171" spans="1:10" x14ac:dyDescent="0.25">
      <c r="A171" s="27"/>
      <c r="B171" s="2"/>
      <c r="C171" s="2"/>
      <c r="D171" s="10"/>
      <c r="E171" s="10"/>
      <c r="F171" s="10"/>
      <c r="G171" s="2"/>
      <c r="H171" s="2"/>
      <c r="I171" s="2"/>
      <c r="J171" s="4">
        <f t="shared" si="33"/>
        <v>0</v>
      </c>
    </row>
    <row r="172" spans="1:10" x14ac:dyDescent="0.25">
      <c r="A172" s="27"/>
      <c r="B172" s="2"/>
      <c r="C172" s="2"/>
      <c r="D172" s="10"/>
      <c r="E172" s="10"/>
      <c r="F172" s="10"/>
      <c r="G172" s="2"/>
      <c r="H172" s="2"/>
      <c r="I172" s="2"/>
      <c r="J172" s="4">
        <f t="shared" si="33"/>
        <v>0</v>
      </c>
    </row>
    <row r="173" spans="1:10" x14ac:dyDescent="0.25">
      <c r="A173" s="27"/>
      <c r="B173" s="28" t="s">
        <v>34</v>
      </c>
      <c r="C173" s="29"/>
      <c r="D173" s="29"/>
      <c r="E173" s="29"/>
      <c r="F173" s="29"/>
      <c r="G173" s="29"/>
      <c r="H173" s="29"/>
      <c r="I173" s="29"/>
      <c r="J173" s="29"/>
    </row>
    <row r="174" spans="1:10" x14ac:dyDescent="0.25">
      <c r="A174" s="8"/>
      <c r="B174" s="9"/>
      <c r="C174" s="9"/>
      <c r="D174" s="9"/>
      <c r="E174" s="9"/>
      <c r="F174" s="9"/>
      <c r="G174" s="9"/>
      <c r="H174" s="11">
        <f>SUM(H167:H172)</f>
        <v>0</v>
      </c>
      <c r="I174" s="11">
        <f t="shared" ref="I174:J174" si="34">SUM(I167:I172)</f>
        <v>0</v>
      </c>
      <c r="J174" s="11">
        <f t="shared" si="34"/>
        <v>0</v>
      </c>
    </row>
    <row r="177" spans="6:10" x14ac:dyDescent="0.25">
      <c r="J177" s="24">
        <f>J14+J22+J30+J38+J46+J54+J62+J70+J78+J86+J118+J126+J134+J142+J150+J158+J166+J174</f>
        <v>1993050.9299999997</v>
      </c>
    </row>
    <row r="178" spans="6:10" x14ac:dyDescent="0.25">
      <c r="J178" s="23"/>
    </row>
    <row r="179" spans="6:10" x14ac:dyDescent="0.25">
      <c r="J179" s="23"/>
    </row>
    <row r="180" spans="6:10" x14ac:dyDescent="0.25">
      <c r="F180" s="22"/>
      <c r="J180" s="23"/>
    </row>
    <row r="181" spans="6:10" x14ac:dyDescent="0.25">
      <c r="J181" s="24"/>
    </row>
  </sheetData>
  <mergeCells count="38">
    <mergeCell ref="B173:J173"/>
    <mergeCell ref="B117:J117"/>
    <mergeCell ref="B125:J125"/>
    <mergeCell ref="B133:J133"/>
    <mergeCell ref="B141:J141"/>
    <mergeCell ref="B149:J149"/>
    <mergeCell ref="B165:J165"/>
    <mergeCell ref="B157:J157"/>
    <mergeCell ref="B45:J45"/>
    <mergeCell ref="B53:J53"/>
    <mergeCell ref="B61:J61"/>
    <mergeCell ref="B69:J69"/>
    <mergeCell ref="B77:J77"/>
    <mergeCell ref="B85:J85"/>
    <mergeCell ref="A167:A173"/>
    <mergeCell ref="B3:F3"/>
    <mergeCell ref="H3:J3"/>
    <mergeCell ref="B13:J13"/>
    <mergeCell ref="B21:J21"/>
    <mergeCell ref="B29:J29"/>
    <mergeCell ref="B37:J37"/>
    <mergeCell ref="A119:A125"/>
    <mergeCell ref="A127:A133"/>
    <mergeCell ref="A135:A141"/>
    <mergeCell ref="A143:A149"/>
    <mergeCell ref="A151:A157"/>
    <mergeCell ref="A159:A165"/>
    <mergeCell ref="A47:A53"/>
    <mergeCell ref="A55:A61"/>
    <mergeCell ref="A63:A69"/>
    <mergeCell ref="A71:A77"/>
    <mergeCell ref="A79:A85"/>
    <mergeCell ref="A87:A117"/>
    <mergeCell ref="A5:A13"/>
    <mergeCell ref="A15:A21"/>
    <mergeCell ref="A23:A29"/>
    <mergeCell ref="A31:A37"/>
    <mergeCell ref="A39:A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G19" sqref="G19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1" t="s">
        <v>35</v>
      </c>
      <c r="B1" s="32"/>
      <c r="C1" s="33"/>
      <c r="D1" s="13"/>
      <c r="E1" s="34" t="s">
        <v>36</v>
      </c>
      <c r="F1" s="34"/>
      <c r="G1" s="34"/>
      <c r="H1" s="34"/>
      <c r="I1" s="13"/>
      <c r="J1" s="21" t="s">
        <v>37</v>
      </c>
      <c r="K1" s="14"/>
      <c r="L1" s="34" t="s">
        <v>38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x14ac:dyDescent="0.25">
      <c r="A2" s="15" t="s">
        <v>39</v>
      </c>
      <c r="B2" s="15" t="s">
        <v>31</v>
      </c>
      <c r="C2" s="15" t="s">
        <v>40</v>
      </c>
      <c r="D2" s="16"/>
      <c r="E2" s="15" t="s">
        <v>0</v>
      </c>
      <c r="F2" s="15" t="s">
        <v>29</v>
      </c>
      <c r="G2" s="15" t="s">
        <v>30</v>
      </c>
      <c r="H2" s="15" t="s">
        <v>31</v>
      </c>
      <c r="I2" s="16"/>
      <c r="J2" s="15" t="s">
        <v>41</v>
      </c>
      <c r="K2" s="17"/>
      <c r="L2" s="15" t="s">
        <v>42</v>
      </c>
      <c r="M2" s="15" t="s">
        <v>43</v>
      </c>
      <c r="N2" s="15" t="s">
        <v>44</v>
      </c>
      <c r="O2" s="15" t="s">
        <v>45</v>
      </c>
      <c r="P2" s="15" t="s">
        <v>46</v>
      </c>
      <c r="Q2" s="15" t="s">
        <v>47</v>
      </c>
      <c r="R2" s="15" t="s">
        <v>48</v>
      </c>
      <c r="S2" s="15" t="s">
        <v>49</v>
      </c>
      <c r="T2" s="15" t="s">
        <v>50</v>
      </c>
      <c r="U2" s="15" t="s">
        <v>51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7" sqref="J27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52</v>
      </c>
    </row>
    <row r="3" spans="1:18" x14ac:dyDescent="0.25">
      <c r="A3" s="38" t="s">
        <v>53</v>
      </c>
      <c r="B3" s="39"/>
      <c r="C3" s="35" t="s">
        <v>54</v>
      </c>
      <c r="D3" s="36"/>
      <c r="E3" s="35" t="s">
        <v>55</v>
      </c>
      <c r="F3" s="36"/>
      <c r="G3" s="35" t="s">
        <v>56</v>
      </c>
      <c r="H3" s="36"/>
      <c r="I3" s="35" t="s">
        <v>57</v>
      </c>
      <c r="J3" s="36"/>
      <c r="K3" s="35" t="s">
        <v>58</v>
      </c>
      <c r="L3" s="36"/>
      <c r="M3" s="35" t="s">
        <v>59</v>
      </c>
      <c r="N3" s="36"/>
      <c r="O3" s="35" t="s">
        <v>60</v>
      </c>
      <c r="P3" s="36"/>
      <c r="Q3" s="35" t="s">
        <v>61</v>
      </c>
      <c r="R3" s="36"/>
    </row>
    <row r="4" spans="1:18" x14ac:dyDescent="0.25">
      <c r="A4" s="40"/>
      <c r="B4" s="41"/>
      <c r="C4" s="20" t="s">
        <v>62</v>
      </c>
      <c r="D4" s="20" t="s">
        <v>63</v>
      </c>
      <c r="E4" s="20" t="s">
        <v>62</v>
      </c>
      <c r="F4" s="20" t="s">
        <v>63</v>
      </c>
      <c r="G4" s="20" t="s">
        <v>62</v>
      </c>
      <c r="H4" s="20" t="s">
        <v>63</v>
      </c>
      <c r="I4" s="20" t="s">
        <v>62</v>
      </c>
      <c r="J4" s="20" t="s">
        <v>63</v>
      </c>
      <c r="K4" s="20" t="s">
        <v>62</v>
      </c>
      <c r="L4" s="20" t="s">
        <v>63</v>
      </c>
      <c r="M4" s="20" t="s">
        <v>62</v>
      </c>
      <c r="N4" s="20" t="s">
        <v>63</v>
      </c>
      <c r="O4" s="20" t="s">
        <v>62</v>
      </c>
      <c r="P4" s="20" t="s">
        <v>63</v>
      </c>
      <c r="Q4" s="20" t="s">
        <v>62</v>
      </c>
      <c r="R4" s="20" t="s">
        <v>63</v>
      </c>
    </row>
    <row r="5" spans="1:18" x14ac:dyDescent="0.25">
      <c r="A5" s="37" t="s">
        <v>8</v>
      </c>
      <c r="B5" s="3" t="s">
        <v>25</v>
      </c>
      <c r="C5" s="2">
        <v>34</v>
      </c>
      <c r="D5" s="2">
        <v>90</v>
      </c>
      <c r="E5" s="2">
        <v>92</v>
      </c>
      <c r="F5" s="2">
        <v>100</v>
      </c>
      <c r="G5" s="2">
        <v>0</v>
      </c>
      <c r="H5" s="2">
        <v>101</v>
      </c>
      <c r="I5" s="2">
        <v>0</v>
      </c>
      <c r="J5" s="2">
        <v>3</v>
      </c>
      <c r="K5" s="2">
        <v>14</v>
      </c>
      <c r="L5" s="2">
        <v>11</v>
      </c>
      <c r="M5" s="2">
        <v>124</v>
      </c>
      <c r="N5" s="2">
        <v>124</v>
      </c>
      <c r="O5" s="2">
        <v>12</v>
      </c>
      <c r="P5" s="2">
        <v>18</v>
      </c>
      <c r="Q5" s="2">
        <v>93</v>
      </c>
      <c r="R5" s="2">
        <v>101</v>
      </c>
    </row>
    <row r="6" spans="1:18" x14ac:dyDescent="0.25">
      <c r="A6" s="37"/>
      <c r="B6" s="3" t="s">
        <v>32</v>
      </c>
      <c r="C6" s="2">
        <v>14</v>
      </c>
      <c r="D6" s="2">
        <v>59</v>
      </c>
      <c r="E6" s="2">
        <v>26</v>
      </c>
      <c r="F6" s="2">
        <v>37</v>
      </c>
      <c r="G6" s="2">
        <v>0</v>
      </c>
      <c r="H6" s="2">
        <v>37</v>
      </c>
      <c r="I6" s="2">
        <v>0</v>
      </c>
      <c r="J6" s="2">
        <v>1</v>
      </c>
      <c r="K6" s="2">
        <v>4</v>
      </c>
      <c r="L6" s="2">
        <v>4</v>
      </c>
      <c r="M6" s="2">
        <v>36</v>
      </c>
      <c r="N6" s="2">
        <v>44</v>
      </c>
      <c r="O6" s="2">
        <v>4</v>
      </c>
      <c r="P6" s="2">
        <v>12</v>
      </c>
      <c r="Q6" s="2">
        <v>26</v>
      </c>
      <c r="R6" s="2">
        <v>37</v>
      </c>
    </row>
    <row r="7" spans="1:18" x14ac:dyDescent="0.25">
      <c r="A7" s="37" t="s">
        <v>9</v>
      </c>
      <c r="B7" s="3" t="s">
        <v>25</v>
      </c>
      <c r="C7" s="2">
        <v>0</v>
      </c>
      <c r="D7" s="2">
        <v>24</v>
      </c>
      <c r="E7" s="2">
        <v>68</v>
      </c>
      <c r="F7" s="2">
        <v>91</v>
      </c>
      <c r="G7" s="2">
        <v>0</v>
      </c>
      <c r="H7" s="2">
        <v>91</v>
      </c>
      <c r="I7" s="2">
        <v>0</v>
      </c>
      <c r="J7" s="2">
        <v>8</v>
      </c>
      <c r="K7" s="2">
        <v>134</v>
      </c>
      <c r="L7" s="2">
        <v>171</v>
      </c>
      <c r="M7" s="2">
        <v>47</v>
      </c>
      <c r="N7" s="2">
        <v>54</v>
      </c>
      <c r="O7" s="2">
        <v>13</v>
      </c>
      <c r="P7" s="2">
        <v>21</v>
      </c>
      <c r="Q7" s="2">
        <v>66</v>
      </c>
      <c r="R7" s="2">
        <v>87</v>
      </c>
    </row>
    <row r="8" spans="1:18" x14ac:dyDescent="0.25">
      <c r="A8" s="37"/>
      <c r="B8" s="3" t="s">
        <v>32</v>
      </c>
      <c r="C8" s="2">
        <v>0</v>
      </c>
      <c r="D8" s="2">
        <v>14</v>
      </c>
      <c r="E8" s="2">
        <v>16</v>
      </c>
      <c r="F8" s="2">
        <v>9</v>
      </c>
      <c r="G8" s="2">
        <v>0</v>
      </c>
      <c r="H8" s="2">
        <v>9</v>
      </c>
      <c r="I8" s="2">
        <v>10</v>
      </c>
      <c r="J8" s="2">
        <v>0</v>
      </c>
      <c r="K8" s="2">
        <v>22</v>
      </c>
      <c r="L8" s="2">
        <v>22</v>
      </c>
      <c r="M8" s="2">
        <v>13</v>
      </c>
      <c r="N8" s="2">
        <v>12</v>
      </c>
      <c r="O8" s="2">
        <v>6</v>
      </c>
      <c r="P8" s="2">
        <v>2</v>
      </c>
      <c r="Q8" s="2">
        <v>17</v>
      </c>
      <c r="R8" s="2">
        <v>7</v>
      </c>
    </row>
    <row r="9" spans="1:18" x14ac:dyDescent="0.25">
      <c r="A9" s="37" t="s">
        <v>64</v>
      </c>
      <c r="B9" s="3" t="s">
        <v>25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</v>
      </c>
    </row>
    <row r="10" spans="1:18" x14ac:dyDescent="0.25">
      <c r="A10" s="37"/>
      <c r="B10" s="3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</v>
      </c>
    </row>
    <row r="11" spans="1:18" x14ac:dyDescent="0.25">
      <c r="A11" s="37" t="s">
        <v>12</v>
      </c>
      <c r="B11" s="3" t="s">
        <v>25</v>
      </c>
      <c r="C11" s="2">
        <v>0</v>
      </c>
      <c r="D11" s="2">
        <v>2</v>
      </c>
      <c r="E11" s="2">
        <v>0</v>
      </c>
      <c r="F11" s="2">
        <v>2</v>
      </c>
      <c r="G11" s="2">
        <v>0</v>
      </c>
      <c r="H11" s="2">
        <v>2</v>
      </c>
      <c r="I11" s="2">
        <v>0</v>
      </c>
      <c r="J11" s="2">
        <v>2</v>
      </c>
      <c r="K11" s="2">
        <v>4</v>
      </c>
      <c r="L11" s="2">
        <v>3</v>
      </c>
      <c r="M11" s="2">
        <v>0</v>
      </c>
      <c r="N11" s="2">
        <v>0</v>
      </c>
      <c r="O11" s="2">
        <v>0</v>
      </c>
      <c r="P11" s="2">
        <v>2</v>
      </c>
      <c r="Q11" s="2">
        <v>0</v>
      </c>
      <c r="R11" s="2">
        <v>3</v>
      </c>
    </row>
    <row r="12" spans="1:18" x14ac:dyDescent="0.25">
      <c r="A12" s="37"/>
      <c r="B12" s="3" t="s">
        <v>32</v>
      </c>
      <c r="C12" s="2">
        <v>0</v>
      </c>
      <c r="D12" s="2">
        <v>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7</v>
      </c>
      <c r="L12" s="2">
        <v>1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</row>
    <row r="13" spans="1:18" x14ac:dyDescent="0.25">
      <c r="A13" s="37" t="s">
        <v>65</v>
      </c>
      <c r="B13" s="3" t="s">
        <v>25</v>
      </c>
      <c r="C13" s="2">
        <v>0</v>
      </c>
      <c r="D13" s="2">
        <v>0</v>
      </c>
      <c r="E13" s="2">
        <v>0</v>
      </c>
      <c r="F13" s="2">
        <v>1</v>
      </c>
      <c r="G13" s="2">
        <v>0</v>
      </c>
      <c r="H13" s="2">
        <v>1</v>
      </c>
      <c r="I13" s="2">
        <v>0</v>
      </c>
      <c r="J13" s="2">
        <v>2</v>
      </c>
      <c r="K13" s="2">
        <v>0</v>
      </c>
      <c r="L13" s="2">
        <v>5</v>
      </c>
      <c r="M13" s="2">
        <v>0</v>
      </c>
      <c r="N13" s="2">
        <v>1</v>
      </c>
      <c r="O13" s="2">
        <v>0</v>
      </c>
      <c r="P13" s="2">
        <v>4</v>
      </c>
      <c r="Q13" s="2">
        <v>0</v>
      </c>
      <c r="R13" s="2">
        <v>1</v>
      </c>
    </row>
    <row r="14" spans="1:18" x14ac:dyDescent="0.25">
      <c r="A14" s="37"/>
      <c r="B14" s="3" t="s">
        <v>32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4</v>
      </c>
      <c r="M14" s="2">
        <v>0</v>
      </c>
      <c r="N14" s="2">
        <v>1</v>
      </c>
      <c r="O14" s="2">
        <v>0</v>
      </c>
      <c r="P14" s="2">
        <v>3</v>
      </c>
      <c r="Q14" s="2">
        <v>0</v>
      </c>
      <c r="R14" s="2">
        <v>0</v>
      </c>
    </row>
    <row r="15" spans="1:18" x14ac:dyDescent="0.25">
      <c r="A15" s="37" t="s">
        <v>13</v>
      </c>
      <c r="B15" s="3" t="s">
        <v>25</v>
      </c>
      <c r="C15" s="2">
        <v>0</v>
      </c>
      <c r="D15" s="2">
        <v>1</v>
      </c>
      <c r="E15" s="2">
        <v>0</v>
      </c>
      <c r="F15" s="2">
        <v>23</v>
      </c>
      <c r="G15" s="2">
        <v>0</v>
      </c>
      <c r="H15" s="2">
        <v>22</v>
      </c>
      <c r="I15" s="2">
        <v>0</v>
      </c>
      <c r="J15" s="2">
        <v>1</v>
      </c>
      <c r="K15" s="2">
        <v>50</v>
      </c>
      <c r="L15" s="2">
        <v>87</v>
      </c>
      <c r="M15" s="2">
        <v>0</v>
      </c>
      <c r="N15" s="2">
        <v>1</v>
      </c>
      <c r="O15" s="2">
        <v>0</v>
      </c>
      <c r="P15" s="2">
        <v>11</v>
      </c>
      <c r="Q15" s="2">
        <v>0</v>
      </c>
      <c r="R15" s="2">
        <v>23</v>
      </c>
    </row>
    <row r="16" spans="1:18" x14ac:dyDescent="0.25">
      <c r="A16" s="37"/>
      <c r="B16" s="3" t="s">
        <v>32</v>
      </c>
      <c r="C16" s="2">
        <v>0</v>
      </c>
      <c r="D16" s="2">
        <v>1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1</v>
      </c>
      <c r="K16" s="2">
        <v>18</v>
      </c>
      <c r="L16" s="2">
        <v>20</v>
      </c>
      <c r="M16" s="2">
        <v>0</v>
      </c>
      <c r="N16" s="2">
        <v>0</v>
      </c>
      <c r="O16" s="2">
        <v>0</v>
      </c>
      <c r="P16" s="2">
        <v>3</v>
      </c>
      <c r="Q16" s="2">
        <v>0</v>
      </c>
      <c r="R16" s="2">
        <v>1</v>
      </c>
    </row>
    <row r="17" spans="1:18" x14ac:dyDescent="0.25">
      <c r="A17" s="37" t="s">
        <v>14</v>
      </c>
      <c r="B17" s="3" t="s">
        <v>25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6</v>
      </c>
      <c r="L17" s="2">
        <v>10</v>
      </c>
      <c r="M17" s="12">
        <v>0</v>
      </c>
      <c r="N17" s="12">
        <v>1</v>
      </c>
      <c r="O17" s="2">
        <v>0</v>
      </c>
      <c r="P17" s="2">
        <v>1</v>
      </c>
      <c r="Q17" s="2">
        <v>0</v>
      </c>
      <c r="R17" s="2">
        <v>0</v>
      </c>
    </row>
    <row r="18" spans="1:18" x14ac:dyDescent="0.25">
      <c r="A18" s="37"/>
      <c r="B18" s="3" t="s">
        <v>32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6</v>
      </c>
      <c r="L18" s="2">
        <v>10</v>
      </c>
      <c r="M18" s="12">
        <v>0</v>
      </c>
      <c r="N18" s="12">
        <v>1</v>
      </c>
      <c r="O18" s="2">
        <v>0</v>
      </c>
      <c r="P18" s="2">
        <v>1</v>
      </c>
      <c r="Q18" s="2">
        <v>0</v>
      </c>
      <c r="R18" s="2">
        <v>0</v>
      </c>
    </row>
    <row r="19" spans="1:18" x14ac:dyDescent="0.25">
      <c r="A19" s="37" t="s">
        <v>18</v>
      </c>
      <c r="B19" s="3" t="s">
        <v>25</v>
      </c>
      <c r="C19" s="2">
        <v>0</v>
      </c>
      <c r="D19" s="2">
        <v>0</v>
      </c>
      <c r="E19" s="2">
        <v>21</v>
      </c>
      <c r="F19" s="2">
        <v>24</v>
      </c>
      <c r="G19" s="2">
        <v>0</v>
      </c>
      <c r="H19" s="2">
        <v>24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3</v>
      </c>
      <c r="O19" s="2">
        <v>0</v>
      </c>
      <c r="P19" s="2">
        <v>0</v>
      </c>
      <c r="Q19" s="2">
        <v>21</v>
      </c>
      <c r="R19" s="2">
        <v>24</v>
      </c>
    </row>
    <row r="20" spans="1:18" x14ac:dyDescent="0.25">
      <c r="A20" s="37"/>
      <c r="B20" s="3" t="s">
        <v>32</v>
      </c>
      <c r="C20" s="2">
        <v>0</v>
      </c>
      <c r="D20" s="2">
        <v>0</v>
      </c>
      <c r="E20" s="2">
        <v>23</v>
      </c>
      <c r="F20" s="2">
        <v>24</v>
      </c>
      <c r="G20" s="2">
        <v>23</v>
      </c>
      <c r="H20" s="2">
        <v>24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3</v>
      </c>
      <c r="O20" s="2">
        <v>0</v>
      </c>
      <c r="P20" s="2">
        <v>0</v>
      </c>
      <c r="Q20" s="2">
        <v>23</v>
      </c>
      <c r="R20" s="2">
        <v>24</v>
      </c>
    </row>
    <row r="21" spans="1:18" x14ac:dyDescent="0.25">
      <c r="A21" s="37" t="s">
        <v>19</v>
      </c>
      <c r="B21" s="3" t="s">
        <v>25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2">
        <v>1</v>
      </c>
      <c r="I21" s="2">
        <v>0</v>
      </c>
      <c r="J21" s="2">
        <v>3</v>
      </c>
      <c r="K21" s="2">
        <v>0</v>
      </c>
      <c r="L21" s="2">
        <v>0</v>
      </c>
      <c r="M21" s="2">
        <v>1</v>
      </c>
      <c r="N21" s="2">
        <v>3</v>
      </c>
      <c r="O21" s="2">
        <v>1</v>
      </c>
      <c r="P21" s="2">
        <v>2</v>
      </c>
      <c r="Q21" s="2">
        <v>0</v>
      </c>
      <c r="R21" s="2">
        <v>1</v>
      </c>
    </row>
    <row r="22" spans="1:18" x14ac:dyDescent="0.25">
      <c r="A22" s="37"/>
      <c r="B22" s="3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1</v>
      </c>
      <c r="K22" s="2">
        <v>0</v>
      </c>
      <c r="L22" s="2">
        <v>0</v>
      </c>
      <c r="M22" s="2">
        <v>1</v>
      </c>
      <c r="N22" s="2">
        <v>1</v>
      </c>
      <c r="O22" s="2">
        <v>1</v>
      </c>
      <c r="P22" s="2">
        <v>1</v>
      </c>
      <c r="Q22" s="2">
        <v>0</v>
      </c>
      <c r="R22" s="2">
        <v>0</v>
      </c>
    </row>
    <row r="23" spans="1:18" x14ac:dyDescent="0.25">
      <c r="A23" s="37" t="s">
        <v>20</v>
      </c>
      <c r="B23" s="3" t="s">
        <v>25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5</v>
      </c>
      <c r="R23" s="2">
        <v>5</v>
      </c>
    </row>
    <row r="24" spans="1:18" x14ac:dyDescent="0.25">
      <c r="A24" s="37"/>
      <c r="B24" s="3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2">
        <v>1</v>
      </c>
      <c r="R24" s="2">
        <v>2</v>
      </c>
    </row>
    <row r="25" spans="1:18" x14ac:dyDescent="0.25">
      <c r="A25" s="37" t="s">
        <v>66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</row>
    <row r="26" spans="1:18" x14ac:dyDescent="0.25">
      <c r="A26" s="37"/>
      <c r="B26" s="3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37" t="s">
        <v>67</v>
      </c>
      <c r="B27" s="3" t="s">
        <v>25</v>
      </c>
      <c r="C27" s="2">
        <v>0</v>
      </c>
      <c r="D27" s="2">
        <v>111</v>
      </c>
      <c r="E27" s="2">
        <v>96</v>
      </c>
      <c r="F27" s="2">
        <v>147</v>
      </c>
      <c r="G27" s="2">
        <v>0</v>
      </c>
      <c r="H27" s="2">
        <v>148</v>
      </c>
      <c r="I27" s="2">
        <v>0</v>
      </c>
      <c r="J27" s="2">
        <v>23</v>
      </c>
      <c r="K27" s="2">
        <v>46</v>
      </c>
      <c r="L27" s="2">
        <v>34</v>
      </c>
      <c r="M27" s="2">
        <v>95</v>
      </c>
      <c r="N27" s="2">
        <v>142</v>
      </c>
      <c r="O27" s="2">
        <v>5</v>
      </c>
      <c r="P27" s="2">
        <v>27</v>
      </c>
      <c r="Q27" s="2">
        <v>94</v>
      </c>
      <c r="R27" s="2">
        <v>145</v>
      </c>
    </row>
    <row r="28" spans="1:18" x14ac:dyDescent="0.25">
      <c r="A28" s="37"/>
      <c r="B28" s="3" t="s">
        <v>32</v>
      </c>
      <c r="C28" s="2">
        <v>0</v>
      </c>
      <c r="D28" s="2">
        <v>75</v>
      </c>
      <c r="E28" s="2">
        <v>47</v>
      </c>
      <c r="F28" s="2">
        <v>65</v>
      </c>
      <c r="G28" s="2">
        <v>0</v>
      </c>
      <c r="H28" s="2">
        <v>65</v>
      </c>
      <c r="I28" s="2">
        <v>7</v>
      </c>
      <c r="J28" s="2">
        <v>13</v>
      </c>
      <c r="K28" s="2">
        <v>11</v>
      </c>
      <c r="L28" s="2">
        <v>16</v>
      </c>
      <c r="M28" s="2">
        <v>37</v>
      </c>
      <c r="N28" s="2">
        <v>50</v>
      </c>
      <c r="O28" s="2">
        <v>4</v>
      </c>
      <c r="P28" s="2">
        <v>17</v>
      </c>
      <c r="Q28" s="2">
        <v>47</v>
      </c>
      <c r="R28" s="2">
        <v>66</v>
      </c>
    </row>
  </sheetData>
  <mergeCells count="21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9"/>
  <sheetViews>
    <sheetView topLeftCell="A106" workbookViewId="0">
      <selection activeCell="C135" sqref="C135"/>
    </sheetView>
  </sheetViews>
  <sheetFormatPr defaultRowHeight="15" x14ac:dyDescent="0.25"/>
  <cols>
    <col min="3" max="3" width="98.140625" bestFit="1" customWidth="1"/>
  </cols>
  <sheetData>
    <row r="1" spans="1:35" x14ac:dyDescent="0.25">
      <c r="A1" t="s">
        <v>68</v>
      </c>
      <c r="B1" t="s">
        <v>30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32</v>
      </c>
      <c r="N1" t="s">
        <v>79</v>
      </c>
      <c r="O1" t="s">
        <v>80</v>
      </c>
      <c r="P1" t="s">
        <v>81</v>
      </c>
      <c r="Q1" t="s">
        <v>82</v>
      </c>
      <c r="R1" t="s">
        <v>83</v>
      </c>
      <c r="S1" t="s">
        <v>84</v>
      </c>
      <c r="T1" t="s">
        <v>85</v>
      </c>
      <c r="U1" t="s">
        <v>86</v>
      </c>
      <c r="V1" t="s">
        <v>87</v>
      </c>
      <c r="W1" t="s">
        <v>88</v>
      </c>
      <c r="X1" t="s">
        <v>89</v>
      </c>
      <c r="Y1" t="s">
        <v>90</v>
      </c>
      <c r="Z1" t="s">
        <v>91</v>
      </c>
      <c r="AA1" t="s">
        <v>92</v>
      </c>
      <c r="AB1" t="s">
        <v>93</v>
      </c>
      <c r="AC1" t="s">
        <v>94</v>
      </c>
      <c r="AD1" t="s">
        <v>95</v>
      </c>
      <c r="AE1" t="s">
        <v>96</v>
      </c>
      <c r="AF1" t="s">
        <v>97</v>
      </c>
      <c r="AG1" t="s">
        <v>98</v>
      </c>
      <c r="AH1" t="s">
        <v>99</v>
      </c>
      <c r="AI1" t="s">
        <v>100</v>
      </c>
    </row>
    <row r="2" spans="1:35" x14ac:dyDescent="0.25">
      <c r="A2" t="str">
        <f>"1780986117"</f>
        <v>1780986117</v>
      </c>
      <c r="B2" t="str">
        <f>"03567264"</f>
        <v>03567264</v>
      </c>
      <c r="C2" t="s">
        <v>101</v>
      </c>
      <c r="D2" t="s">
        <v>102</v>
      </c>
      <c r="E2" t="s">
        <v>101</v>
      </c>
      <c r="G2" t="s">
        <v>103</v>
      </c>
      <c r="H2" t="s">
        <v>104</v>
      </c>
      <c r="J2" t="s">
        <v>105</v>
      </c>
      <c r="L2" t="s">
        <v>106</v>
      </c>
      <c r="M2" t="s">
        <v>107</v>
      </c>
      <c r="R2" t="s">
        <v>101</v>
      </c>
      <c r="W2" t="s">
        <v>101</v>
      </c>
      <c r="X2" t="s">
        <v>108</v>
      </c>
      <c r="Y2" t="s">
        <v>109</v>
      </c>
      <c r="Z2" t="s">
        <v>110</v>
      </c>
      <c r="AA2" t="str">
        <f>"11374-2259"</f>
        <v>11374-2259</v>
      </c>
      <c r="AB2" t="s">
        <v>111</v>
      </c>
      <c r="AC2" t="s">
        <v>112</v>
      </c>
      <c r="AD2" t="s">
        <v>107</v>
      </c>
      <c r="AE2" t="s">
        <v>113</v>
      </c>
      <c r="AG2" t="s">
        <v>114</v>
      </c>
    </row>
    <row r="3" spans="1:35" x14ac:dyDescent="0.25">
      <c r="A3" t="str">
        <f>"1699005553"</f>
        <v>1699005553</v>
      </c>
      <c r="B3" t="str">
        <f>"03173719"</f>
        <v>03173719</v>
      </c>
      <c r="C3" t="s">
        <v>115</v>
      </c>
      <c r="D3" t="s">
        <v>116</v>
      </c>
      <c r="E3" t="s">
        <v>115</v>
      </c>
      <c r="G3" t="s">
        <v>103</v>
      </c>
      <c r="H3" t="s">
        <v>104</v>
      </c>
      <c r="J3" t="s">
        <v>105</v>
      </c>
      <c r="L3" t="s">
        <v>117</v>
      </c>
      <c r="M3" t="s">
        <v>107</v>
      </c>
      <c r="R3" t="s">
        <v>115</v>
      </c>
      <c r="W3" t="s">
        <v>118</v>
      </c>
      <c r="X3" t="s">
        <v>119</v>
      </c>
      <c r="Y3" t="s">
        <v>109</v>
      </c>
      <c r="Z3" t="s">
        <v>110</v>
      </c>
      <c r="AA3" t="str">
        <f>"11374-2259"</f>
        <v>11374-2259</v>
      </c>
      <c r="AB3" t="s">
        <v>111</v>
      </c>
      <c r="AC3" t="s">
        <v>112</v>
      </c>
      <c r="AD3" t="s">
        <v>107</v>
      </c>
      <c r="AE3" t="s">
        <v>113</v>
      </c>
      <c r="AG3" t="s">
        <v>114</v>
      </c>
    </row>
    <row r="4" spans="1:35" x14ac:dyDescent="0.25">
      <c r="A4" t="str">
        <f>"1568647931"</f>
        <v>1568647931</v>
      </c>
      <c r="B4" t="str">
        <f>"03772974"</f>
        <v>03772974</v>
      </c>
      <c r="C4" t="s">
        <v>120</v>
      </c>
      <c r="D4" t="s">
        <v>121</v>
      </c>
      <c r="E4" t="s">
        <v>122</v>
      </c>
      <c r="G4" t="s">
        <v>103</v>
      </c>
      <c r="H4" t="s">
        <v>104</v>
      </c>
      <c r="J4" t="s">
        <v>105</v>
      </c>
      <c r="L4" t="s">
        <v>106</v>
      </c>
      <c r="M4" t="s">
        <v>107</v>
      </c>
      <c r="R4" t="s">
        <v>120</v>
      </c>
      <c r="W4" t="s">
        <v>122</v>
      </c>
      <c r="X4" t="s">
        <v>119</v>
      </c>
      <c r="Y4" t="s">
        <v>109</v>
      </c>
      <c r="Z4" t="s">
        <v>110</v>
      </c>
      <c r="AA4" t="str">
        <f>"11374-2259"</f>
        <v>11374-2259</v>
      </c>
      <c r="AB4" t="s">
        <v>111</v>
      </c>
      <c r="AC4" t="s">
        <v>112</v>
      </c>
      <c r="AD4" t="s">
        <v>107</v>
      </c>
      <c r="AE4" t="s">
        <v>113</v>
      </c>
      <c r="AG4" t="s">
        <v>114</v>
      </c>
    </row>
    <row r="5" spans="1:35" x14ac:dyDescent="0.25">
      <c r="A5" t="str">
        <f>"1437461985"</f>
        <v>1437461985</v>
      </c>
      <c r="B5" t="str">
        <f>"03286142"</f>
        <v>03286142</v>
      </c>
      <c r="C5" t="s">
        <v>123</v>
      </c>
      <c r="D5" t="s">
        <v>124</v>
      </c>
      <c r="E5" t="s">
        <v>123</v>
      </c>
      <c r="G5" t="s">
        <v>103</v>
      </c>
      <c r="H5" t="s">
        <v>104</v>
      </c>
      <c r="J5" t="s">
        <v>105</v>
      </c>
      <c r="L5" t="s">
        <v>106</v>
      </c>
      <c r="M5" t="s">
        <v>107</v>
      </c>
      <c r="R5" t="s">
        <v>123</v>
      </c>
      <c r="W5" t="s">
        <v>123</v>
      </c>
      <c r="X5" t="s">
        <v>125</v>
      </c>
      <c r="Y5" t="s">
        <v>126</v>
      </c>
      <c r="Z5" t="s">
        <v>110</v>
      </c>
      <c r="AA5" t="str">
        <f>"11362-1150"</f>
        <v>11362-1150</v>
      </c>
      <c r="AB5" t="s">
        <v>111</v>
      </c>
      <c r="AC5" t="s">
        <v>112</v>
      </c>
      <c r="AD5" t="s">
        <v>107</v>
      </c>
      <c r="AE5" t="s">
        <v>113</v>
      </c>
      <c r="AG5" t="s">
        <v>114</v>
      </c>
    </row>
    <row r="6" spans="1:35" x14ac:dyDescent="0.25">
      <c r="A6" t="str">
        <f>"1124199930"</f>
        <v>1124199930</v>
      </c>
      <c r="B6" t="str">
        <f>"02904158"</f>
        <v>02904158</v>
      </c>
      <c r="C6" t="s">
        <v>127</v>
      </c>
      <c r="D6" t="s">
        <v>128</v>
      </c>
      <c r="E6" t="s">
        <v>127</v>
      </c>
      <c r="G6" t="s">
        <v>103</v>
      </c>
      <c r="H6" t="s">
        <v>104</v>
      </c>
      <c r="J6" t="s">
        <v>105</v>
      </c>
      <c r="L6" t="s">
        <v>106</v>
      </c>
      <c r="M6" t="s">
        <v>107</v>
      </c>
      <c r="R6" t="s">
        <v>127</v>
      </c>
      <c r="W6" t="s">
        <v>129</v>
      </c>
      <c r="X6" t="s">
        <v>119</v>
      </c>
      <c r="Y6" t="s">
        <v>109</v>
      </c>
      <c r="Z6" t="s">
        <v>110</v>
      </c>
      <c r="AA6" t="str">
        <f>"11374-2259"</f>
        <v>11374-2259</v>
      </c>
      <c r="AB6" t="s">
        <v>111</v>
      </c>
      <c r="AC6" t="s">
        <v>112</v>
      </c>
      <c r="AD6" t="s">
        <v>107</v>
      </c>
      <c r="AE6" t="s">
        <v>113</v>
      </c>
      <c r="AG6" t="s">
        <v>114</v>
      </c>
    </row>
    <row r="7" spans="1:35" x14ac:dyDescent="0.25">
      <c r="A7" t="str">
        <f>"1982999363"</f>
        <v>1982999363</v>
      </c>
      <c r="B7" t="str">
        <f>"03403927"</f>
        <v>03403927</v>
      </c>
      <c r="C7" t="s">
        <v>130</v>
      </c>
      <c r="D7" t="s">
        <v>131</v>
      </c>
      <c r="E7" t="s">
        <v>130</v>
      </c>
      <c r="G7" t="s">
        <v>103</v>
      </c>
      <c r="H7" t="s">
        <v>104</v>
      </c>
      <c r="J7" t="s">
        <v>105</v>
      </c>
      <c r="L7" t="s">
        <v>106</v>
      </c>
      <c r="M7" t="s">
        <v>107</v>
      </c>
      <c r="R7" t="s">
        <v>130</v>
      </c>
      <c r="W7" t="s">
        <v>130</v>
      </c>
      <c r="X7" t="s">
        <v>119</v>
      </c>
      <c r="Y7" t="s">
        <v>109</v>
      </c>
      <c r="Z7" t="s">
        <v>110</v>
      </c>
      <c r="AA7" t="str">
        <f>"11374-2259"</f>
        <v>11374-2259</v>
      </c>
      <c r="AB7" t="s">
        <v>111</v>
      </c>
      <c r="AC7" t="s">
        <v>112</v>
      </c>
      <c r="AD7" t="s">
        <v>107</v>
      </c>
      <c r="AE7" t="s">
        <v>113</v>
      </c>
      <c r="AG7" t="s">
        <v>114</v>
      </c>
    </row>
    <row r="8" spans="1:35" x14ac:dyDescent="0.25">
      <c r="A8" t="str">
        <f>"1104123876"</f>
        <v>1104123876</v>
      </c>
      <c r="B8" t="str">
        <f>"03566709"</f>
        <v>03566709</v>
      </c>
      <c r="C8" t="s">
        <v>132</v>
      </c>
      <c r="D8" t="s">
        <v>133</v>
      </c>
      <c r="E8" t="s">
        <v>132</v>
      </c>
      <c r="G8" t="s">
        <v>103</v>
      </c>
      <c r="H8" t="s">
        <v>104</v>
      </c>
      <c r="J8" t="s">
        <v>105</v>
      </c>
      <c r="L8" t="s">
        <v>106</v>
      </c>
      <c r="M8" t="s">
        <v>107</v>
      </c>
      <c r="R8" t="s">
        <v>132</v>
      </c>
      <c r="W8" t="s">
        <v>132</v>
      </c>
      <c r="X8" t="s">
        <v>108</v>
      </c>
      <c r="Y8" t="s">
        <v>109</v>
      </c>
      <c r="Z8" t="s">
        <v>110</v>
      </c>
      <c r="AA8" t="str">
        <f>"11374-2259"</f>
        <v>11374-2259</v>
      </c>
      <c r="AB8" t="s">
        <v>111</v>
      </c>
      <c r="AC8" t="s">
        <v>112</v>
      </c>
      <c r="AD8" t="s">
        <v>107</v>
      </c>
      <c r="AE8" t="s">
        <v>113</v>
      </c>
      <c r="AG8" t="s">
        <v>114</v>
      </c>
    </row>
    <row r="9" spans="1:35" x14ac:dyDescent="0.25">
      <c r="A9" t="str">
        <f>"1790857993"</f>
        <v>1790857993</v>
      </c>
      <c r="B9" t="str">
        <f>"02515451"</f>
        <v>02515451</v>
      </c>
      <c r="C9" t="s">
        <v>134</v>
      </c>
      <c r="D9" t="s">
        <v>135</v>
      </c>
      <c r="E9" t="s">
        <v>134</v>
      </c>
      <c r="G9" t="s">
        <v>103</v>
      </c>
      <c r="H9" t="s">
        <v>104</v>
      </c>
      <c r="J9" t="s">
        <v>105</v>
      </c>
      <c r="L9" t="s">
        <v>106</v>
      </c>
      <c r="M9" t="s">
        <v>107</v>
      </c>
      <c r="R9" t="s">
        <v>134</v>
      </c>
      <c r="W9" t="s">
        <v>136</v>
      </c>
      <c r="X9" t="s">
        <v>108</v>
      </c>
      <c r="Y9" t="s">
        <v>109</v>
      </c>
      <c r="Z9" t="s">
        <v>110</v>
      </c>
      <c r="AA9" t="str">
        <f>"11374-2259"</f>
        <v>11374-2259</v>
      </c>
      <c r="AB9" t="s">
        <v>111</v>
      </c>
      <c r="AC9" t="s">
        <v>112</v>
      </c>
      <c r="AD9" t="s">
        <v>107</v>
      </c>
      <c r="AE9" t="s">
        <v>113</v>
      </c>
      <c r="AG9" t="s">
        <v>114</v>
      </c>
    </row>
    <row r="10" spans="1:35" x14ac:dyDescent="0.25">
      <c r="A10" t="str">
        <f>"1295850147"</f>
        <v>1295850147</v>
      </c>
      <c r="B10" t="str">
        <f>"03106627"</f>
        <v>03106627</v>
      </c>
      <c r="C10" t="s">
        <v>137</v>
      </c>
      <c r="D10" t="s">
        <v>138</v>
      </c>
      <c r="E10" t="s">
        <v>137</v>
      </c>
      <c r="G10" t="s">
        <v>103</v>
      </c>
      <c r="H10" t="s">
        <v>104</v>
      </c>
      <c r="J10" t="s">
        <v>105</v>
      </c>
      <c r="L10" t="s">
        <v>117</v>
      </c>
      <c r="M10" t="s">
        <v>107</v>
      </c>
      <c r="R10" t="s">
        <v>137</v>
      </c>
      <c r="W10" t="s">
        <v>137</v>
      </c>
      <c r="X10" t="s">
        <v>108</v>
      </c>
      <c r="Y10" t="s">
        <v>109</v>
      </c>
      <c r="Z10" t="s">
        <v>110</v>
      </c>
      <c r="AA10" t="str">
        <f>"11374-2240"</f>
        <v>11374-2240</v>
      </c>
      <c r="AB10" t="s">
        <v>111</v>
      </c>
      <c r="AC10" t="s">
        <v>112</v>
      </c>
      <c r="AD10" t="s">
        <v>107</v>
      </c>
      <c r="AE10" t="s">
        <v>113</v>
      </c>
      <c r="AG10" t="s">
        <v>114</v>
      </c>
    </row>
    <row r="11" spans="1:35" x14ac:dyDescent="0.25">
      <c r="A11" t="str">
        <f>"1235202581"</f>
        <v>1235202581</v>
      </c>
      <c r="B11" t="str">
        <f>"03021478"</f>
        <v>03021478</v>
      </c>
      <c r="C11" t="s">
        <v>139</v>
      </c>
      <c r="D11" t="s">
        <v>140</v>
      </c>
      <c r="E11" t="s">
        <v>139</v>
      </c>
      <c r="G11" t="s">
        <v>103</v>
      </c>
      <c r="H11" t="s">
        <v>104</v>
      </c>
      <c r="J11" t="s">
        <v>105</v>
      </c>
      <c r="L11" t="s">
        <v>117</v>
      </c>
      <c r="M11" t="s">
        <v>107</v>
      </c>
      <c r="R11" t="s">
        <v>139</v>
      </c>
      <c r="W11" t="s">
        <v>139</v>
      </c>
      <c r="X11" t="s">
        <v>119</v>
      </c>
      <c r="Y11" t="s">
        <v>109</v>
      </c>
      <c r="Z11" t="s">
        <v>110</v>
      </c>
      <c r="AA11" t="str">
        <f>"11374-2259"</f>
        <v>11374-2259</v>
      </c>
      <c r="AB11" t="s">
        <v>111</v>
      </c>
      <c r="AC11" t="s">
        <v>112</v>
      </c>
      <c r="AD11" t="s">
        <v>107</v>
      </c>
      <c r="AE11" t="s">
        <v>113</v>
      </c>
      <c r="AG11" t="s">
        <v>114</v>
      </c>
    </row>
    <row r="12" spans="1:35" x14ac:dyDescent="0.25">
      <c r="A12" t="str">
        <f>"1336276526"</f>
        <v>1336276526</v>
      </c>
      <c r="B12" t="str">
        <f>"03020844"</f>
        <v>03020844</v>
      </c>
      <c r="C12" t="s">
        <v>141</v>
      </c>
      <c r="D12" t="s">
        <v>142</v>
      </c>
      <c r="E12" t="s">
        <v>143</v>
      </c>
      <c r="G12" t="s">
        <v>103</v>
      </c>
      <c r="H12" t="s">
        <v>104</v>
      </c>
      <c r="J12" t="s">
        <v>105</v>
      </c>
      <c r="L12" t="s">
        <v>117</v>
      </c>
      <c r="M12" t="s">
        <v>107</v>
      </c>
      <c r="R12" t="s">
        <v>141</v>
      </c>
      <c r="W12" t="s">
        <v>143</v>
      </c>
      <c r="X12" t="s">
        <v>108</v>
      </c>
      <c r="Y12" t="s">
        <v>109</v>
      </c>
      <c r="Z12" t="s">
        <v>110</v>
      </c>
      <c r="AA12" t="str">
        <f>"11374-2240"</f>
        <v>11374-2240</v>
      </c>
      <c r="AB12" t="s">
        <v>111</v>
      </c>
      <c r="AC12" t="s">
        <v>112</v>
      </c>
      <c r="AD12" t="s">
        <v>107</v>
      </c>
      <c r="AE12" t="s">
        <v>113</v>
      </c>
      <c r="AG12" t="s">
        <v>114</v>
      </c>
    </row>
    <row r="13" spans="1:35" x14ac:dyDescent="0.25">
      <c r="A13" t="str">
        <f>"1730287830"</f>
        <v>1730287830</v>
      </c>
      <c r="B13" t="str">
        <f>"03568536"</f>
        <v>03568536</v>
      </c>
      <c r="C13" t="s">
        <v>144</v>
      </c>
      <c r="D13" t="s">
        <v>145</v>
      </c>
      <c r="E13" t="s">
        <v>146</v>
      </c>
      <c r="G13" t="s">
        <v>103</v>
      </c>
      <c r="H13" t="s">
        <v>104</v>
      </c>
      <c r="J13" t="s">
        <v>105</v>
      </c>
      <c r="L13" t="s">
        <v>106</v>
      </c>
      <c r="M13" t="s">
        <v>107</v>
      </c>
      <c r="R13" t="s">
        <v>147</v>
      </c>
      <c r="W13" t="s">
        <v>146</v>
      </c>
      <c r="X13" t="s">
        <v>108</v>
      </c>
      <c r="Y13" t="s">
        <v>109</v>
      </c>
      <c r="Z13" t="s">
        <v>110</v>
      </c>
      <c r="AA13" t="str">
        <f>"11374-2259"</f>
        <v>11374-2259</v>
      </c>
      <c r="AB13" t="s">
        <v>111</v>
      </c>
      <c r="AC13" t="s">
        <v>112</v>
      </c>
      <c r="AD13" t="s">
        <v>107</v>
      </c>
      <c r="AE13" t="s">
        <v>113</v>
      </c>
      <c r="AG13" t="s">
        <v>114</v>
      </c>
    </row>
    <row r="14" spans="1:35" x14ac:dyDescent="0.25">
      <c r="A14" t="str">
        <f>"1043381890"</f>
        <v>1043381890</v>
      </c>
      <c r="B14" t="str">
        <f>"03749337"</f>
        <v>03749337</v>
      </c>
      <c r="C14" t="s">
        <v>148</v>
      </c>
      <c r="D14" t="s">
        <v>149</v>
      </c>
      <c r="E14" t="s">
        <v>150</v>
      </c>
      <c r="G14" t="s">
        <v>103</v>
      </c>
      <c r="H14" t="s">
        <v>104</v>
      </c>
      <c r="J14" t="s">
        <v>105</v>
      </c>
      <c r="L14" t="s">
        <v>106</v>
      </c>
      <c r="M14" t="s">
        <v>107</v>
      </c>
      <c r="R14" t="s">
        <v>148</v>
      </c>
      <c r="W14" t="s">
        <v>150</v>
      </c>
      <c r="X14" t="s">
        <v>119</v>
      </c>
      <c r="Y14" t="s">
        <v>109</v>
      </c>
      <c r="Z14" t="s">
        <v>110</v>
      </c>
      <c r="AA14" t="str">
        <f>"11374-2259"</f>
        <v>11374-2259</v>
      </c>
      <c r="AB14" t="s">
        <v>111</v>
      </c>
      <c r="AC14" t="s">
        <v>112</v>
      </c>
      <c r="AD14" t="s">
        <v>107</v>
      </c>
      <c r="AE14" t="s">
        <v>113</v>
      </c>
      <c r="AG14" t="s">
        <v>114</v>
      </c>
    </row>
    <row r="15" spans="1:35" x14ac:dyDescent="0.25">
      <c r="A15" t="str">
        <f>"1942487004"</f>
        <v>1942487004</v>
      </c>
      <c r="B15" t="str">
        <f>"03354345"</f>
        <v>03354345</v>
      </c>
      <c r="C15" t="s">
        <v>151</v>
      </c>
      <c r="D15" t="s">
        <v>152</v>
      </c>
      <c r="E15" t="s">
        <v>153</v>
      </c>
      <c r="G15" t="s">
        <v>103</v>
      </c>
      <c r="H15" t="s">
        <v>104</v>
      </c>
      <c r="J15" t="s">
        <v>105</v>
      </c>
      <c r="L15" t="s">
        <v>117</v>
      </c>
      <c r="M15" t="s">
        <v>107</v>
      </c>
      <c r="R15" t="s">
        <v>151</v>
      </c>
      <c r="W15" t="s">
        <v>153</v>
      </c>
      <c r="X15" t="s">
        <v>154</v>
      </c>
      <c r="Y15" t="s">
        <v>109</v>
      </c>
      <c r="Z15" t="s">
        <v>110</v>
      </c>
      <c r="AA15" t="str">
        <f>"11374-2259"</f>
        <v>11374-2259</v>
      </c>
      <c r="AB15" t="s">
        <v>111</v>
      </c>
      <c r="AC15" t="s">
        <v>112</v>
      </c>
      <c r="AD15" t="s">
        <v>107</v>
      </c>
      <c r="AE15" t="s">
        <v>113</v>
      </c>
      <c r="AG15" t="s">
        <v>114</v>
      </c>
    </row>
    <row r="16" spans="1:35" x14ac:dyDescent="0.25">
      <c r="A16" t="str">
        <f>"1104902733"</f>
        <v>1104902733</v>
      </c>
      <c r="B16" t="str">
        <f>"02540178"</f>
        <v>02540178</v>
      </c>
      <c r="C16" t="s">
        <v>155</v>
      </c>
      <c r="D16" t="s">
        <v>156</v>
      </c>
      <c r="E16" t="s">
        <v>157</v>
      </c>
      <c r="G16" t="s">
        <v>103</v>
      </c>
      <c r="H16" t="s">
        <v>104</v>
      </c>
      <c r="J16" t="s">
        <v>105</v>
      </c>
      <c r="L16" t="s">
        <v>117</v>
      </c>
      <c r="M16" t="s">
        <v>107</v>
      </c>
      <c r="R16" t="s">
        <v>155</v>
      </c>
      <c r="W16" t="s">
        <v>157</v>
      </c>
      <c r="X16" t="s">
        <v>119</v>
      </c>
      <c r="Y16" t="s">
        <v>109</v>
      </c>
      <c r="Z16" t="s">
        <v>110</v>
      </c>
      <c r="AA16" t="str">
        <f>"11374-2259"</f>
        <v>11374-2259</v>
      </c>
      <c r="AB16" t="s">
        <v>111</v>
      </c>
      <c r="AC16" t="s">
        <v>112</v>
      </c>
      <c r="AD16" t="s">
        <v>107</v>
      </c>
      <c r="AE16" t="s">
        <v>113</v>
      </c>
      <c r="AG16" t="s">
        <v>114</v>
      </c>
    </row>
    <row r="17" spans="1:33" x14ac:dyDescent="0.25">
      <c r="A17" t="str">
        <f>"1790968857"</f>
        <v>1790968857</v>
      </c>
      <c r="B17" t="str">
        <f>"03020151"</f>
        <v>03020151</v>
      </c>
      <c r="C17" t="s">
        <v>158</v>
      </c>
      <c r="D17" t="s">
        <v>159</v>
      </c>
      <c r="E17" t="s">
        <v>158</v>
      </c>
      <c r="G17" t="s">
        <v>103</v>
      </c>
      <c r="H17" t="s">
        <v>104</v>
      </c>
      <c r="J17" t="s">
        <v>105</v>
      </c>
      <c r="L17" t="s">
        <v>117</v>
      </c>
      <c r="M17" t="s">
        <v>107</v>
      </c>
      <c r="R17" t="s">
        <v>158</v>
      </c>
      <c r="W17" t="s">
        <v>158</v>
      </c>
      <c r="X17" t="s">
        <v>119</v>
      </c>
      <c r="Y17" t="s">
        <v>109</v>
      </c>
      <c r="Z17" t="s">
        <v>110</v>
      </c>
      <c r="AA17" t="str">
        <f>"11374-2259"</f>
        <v>11374-2259</v>
      </c>
      <c r="AB17" t="s">
        <v>111</v>
      </c>
      <c r="AC17" t="s">
        <v>112</v>
      </c>
      <c r="AD17" t="s">
        <v>107</v>
      </c>
      <c r="AE17" t="s">
        <v>113</v>
      </c>
      <c r="AG17" t="s">
        <v>114</v>
      </c>
    </row>
    <row r="18" spans="1:33" x14ac:dyDescent="0.25">
      <c r="A18" t="str">
        <f>"1477549681"</f>
        <v>1477549681</v>
      </c>
      <c r="B18" t="str">
        <f>"00116638"</f>
        <v>00116638</v>
      </c>
      <c r="C18" t="s">
        <v>160</v>
      </c>
      <c r="D18" t="s">
        <v>161</v>
      </c>
      <c r="E18" t="s">
        <v>162</v>
      </c>
      <c r="G18" t="s">
        <v>163</v>
      </c>
      <c r="H18" t="s">
        <v>164</v>
      </c>
      <c r="J18" t="s">
        <v>165</v>
      </c>
      <c r="L18" t="s">
        <v>166</v>
      </c>
      <c r="M18" t="s">
        <v>167</v>
      </c>
      <c r="R18" t="s">
        <v>168</v>
      </c>
      <c r="W18" t="s">
        <v>169</v>
      </c>
      <c r="X18" t="s">
        <v>170</v>
      </c>
      <c r="Y18" t="s">
        <v>171</v>
      </c>
      <c r="Z18" t="s">
        <v>110</v>
      </c>
      <c r="AA18" t="str">
        <f>"11373-5156"</f>
        <v>11373-5156</v>
      </c>
      <c r="AB18" t="s">
        <v>172</v>
      </c>
      <c r="AC18" t="s">
        <v>112</v>
      </c>
      <c r="AD18" t="s">
        <v>107</v>
      </c>
      <c r="AE18" t="s">
        <v>113</v>
      </c>
      <c r="AG18" t="s">
        <v>114</v>
      </c>
    </row>
    <row r="19" spans="1:33" x14ac:dyDescent="0.25">
      <c r="A19" t="str">
        <f>"1346464989"</f>
        <v>1346464989</v>
      </c>
      <c r="B19" t="str">
        <f>"02995339"</f>
        <v>02995339</v>
      </c>
      <c r="C19" t="s">
        <v>173</v>
      </c>
      <c r="D19" t="s">
        <v>174</v>
      </c>
      <c r="E19" t="s">
        <v>175</v>
      </c>
      <c r="G19" t="s">
        <v>176</v>
      </c>
      <c r="H19" t="s">
        <v>177</v>
      </c>
      <c r="I19">
        <v>3264</v>
      </c>
      <c r="J19" t="s">
        <v>178</v>
      </c>
      <c r="L19" t="s">
        <v>179</v>
      </c>
      <c r="M19" t="s">
        <v>167</v>
      </c>
      <c r="R19" t="s">
        <v>180</v>
      </c>
      <c r="W19" t="s">
        <v>181</v>
      </c>
      <c r="X19" t="s">
        <v>182</v>
      </c>
      <c r="Y19" t="s">
        <v>183</v>
      </c>
      <c r="Z19" t="s">
        <v>110</v>
      </c>
      <c r="AA19" t="str">
        <f>"10452-2001"</f>
        <v>10452-2001</v>
      </c>
      <c r="AB19" t="s">
        <v>184</v>
      </c>
      <c r="AC19" t="s">
        <v>112</v>
      </c>
      <c r="AD19" t="s">
        <v>107</v>
      </c>
      <c r="AE19" t="s">
        <v>113</v>
      </c>
      <c r="AG19" t="s">
        <v>114</v>
      </c>
    </row>
    <row r="20" spans="1:33" x14ac:dyDescent="0.25">
      <c r="A20" t="str">
        <f>"1003093436"</f>
        <v>1003093436</v>
      </c>
      <c r="B20" t="str">
        <f>"02952812"</f>
        <v>02952812</v>
      </c>
      <c r="C20" t="s">
        <v>185</v>
      </c>
      <c r="D20" t="s">
        <v>186</v>
      </c>
      <c r="E20" t="s">
        <v>187</v>
      </c>
      <c r="G20" t="s">
        <v>176</v>
      </c>
      <c r="H20" t="s">
        <v>177</v>
      </c>
      <c r="I20">
        <v>3264</v>
      </c>
      <c r="J20" t="s">
        <v>178</v>
      </c>
      <c r="L20" t="s">
        <v>188</v>
      </c>
      <c r="M20" t="s">
        <v>167</v>
      </c>
      <c r="R20" t="s">
        <v>189</v>
      </c>
      <c r="W20" t="s">
        <v>189</v>
      </c>
      <c r="X20" t="s">
        <v>190</v>
      </c>
      <c r="Y20" t="s">
        <v>183</v>
      </c>
      <c r="Z20" t="s">
        <v>110</v>
      </c>
      <c r="AA20" t="str">
        <f>"10452-2001"</f>
        <v>10452-2001</v>
      </c>
      <c r="AB20" t="s">
        <v>191</v>
      </c>
      <c r="AC20" t="s">
        <v>112</v>
      </c>
      <c r="AD20" t="s">
        <v>107</v>
      </c>
      <c r="AE20" t="s">
        <v>113</v>
      </c>
      <c r="AG20" t="s">
        <v>114</v>
      </c>
    </row>
    <row r="21" spans="1:33" x14ac:dyDescent="0.25">
      <c r="A21" t="str">
        <f>"1891802468"</f>
        <v>1891802468</v>
      </c>
      <c r="B21" t="str">
        <f>"02109415"</f>
        <v>02109415</v>
      </c>
      <c r="C21" t="s">
        <v>192</v>
      </c>
      <c r="D21" t="s">
        <v>193</v>
      </c>
      <c r="E21" t="s">
        <v>194</v>
      </c>
      <c r="G21" t="s">
        <v>195</v>
      </c>
      <c r="H21" t="s">
        <v>196</v>
      </c>
      <c r="J21" t="s">
        <v>197</v>
      </c>
      <c r="L21" t="s">
        <v>166</v>
      </c>
      <c r="M21" t="s">
        <v>107</v>
      </c>
      <c r="R21" t="s">
        <v>192</v>
      </c>
      <c r="W21" t="s">
        <v>198</v>
      </c>
      <c r="X21" t="s">
        <v>199</v>
      </c>
      <c r="Y21" t="s">
        <v>200</v>
      </c>
      <c r="Z21" t="s">
        <v>110</v>
      </c>
      <c r="AA21" t="str">
        <f>"11372-1144"</f>
        <v>11372-1144</v>
      </c>
      <c r="AB21" t="s">
        <v>172</v>
      </c>
      <c r="AC21" t="s">
        <v>112</v>
      </c>
      <c r="AD21" t="s">
        <v>107</v>
      </c>
      <c r="AE21" t="s">
        <v>113</v>
      </c>
      <c r="AG21" t="s">
        <v>114</v>
      </c>
    </row>
    <row r="22" spans="1:33" x14ac:dyDescent="0.25">
      <c r="A22" t="str">
        <f>"1912969171"</f>
        <v>1912969171</v>
      </c>
      <c r="B22" t="str">
        <f>"03262053"</f>
        <v>03262053</v>
      </c>
      <c r="C22" t="s">
        <v>201</v>
      </c>
      <c r="D22" t="s">
        <v>202</v>
      </c>
      <c r="E22" t="s">
        <v>201</v>
      </c>
      <c r="G22" t="s">
        <v>203</v>
      </c>
      <c r="H22" t="s">
        <v>204</v>
      </c>
      <c r="J22" t="s">
        <v>205</v>
      </c>
      <c r="L22" t="s">
        <v>67</v>
      </c>
      <c r="M22" t="s">
        <v>107</v>
      </c>
      <c r="R22" t="s">
        <v>201</v>
      </c>
      <c r="W22" t="s">
        <v>201</v>
      </c>
      <c r="X22" t="s">
        <v>206</v>
      </c>
      <c r="Y22" t="s">
        <v>207</v>
      </c>
      <c r="Z22" t="s">
        <v>110</v>
      </c>
      <c r="AA22" t="str">
        <f>"11375-4450"</f>
        <v>11375-4450</v>
      </c>
      <c r="AB22" t="s">
        <v>208</v>
      </c>
      <c r="AC22" t="s">
        <v>112</v>
      </c>
      <c r="AD22" t="s">
        <v>107</v>
      </c>
      <c r="AE22" t="s">
        <v>113</v>
      </c>
      <c r="AG22" t="s">
        <v>114</v>
      </c>
    </row>
    <row r="23" spans="1:33" x14ac:dyDescent="0.25">
      <c r="A23" t="str">
        <f>"1124098686"</f>
        <v>1124098686</v>
      </c>
      <c r="B23" t="str">
        <f>"02010240"</f>
        <v>02010240</v>
      </c>
      <c r="C23" t="s">
        <v>209</v>
      </c>
      <c r="D23" t="s">
        <v>210</v>
      </c>
      <c r="E23" t="s">
        <v>211</v>
      </c>
      <c r="G23" t="s">
        <v>212</v>
      </c>
      <c r="H23" t="s">
        <v>213</v>
      </c>
      <c r="J23" t="s">
        <v>214</v>
      </c>
      <c r="L23" t="s">
        <v>215</v>
      </c>
      <c r="M23" t="s">
        <v>107</v>
      </c>
      <c r="R23" t="s">
        <v>209</v>
      </c>
      <c r="W23" t="s">
        <v>211</v>
      </c>
      <c r="X23" t="s">
        <v>216</v>
      </c>
      <c r="Y23" t="s">
        <v>183</v>
      </c>
      <c r="Z23" t="s">
        <v>110</v>
      </c>
      <c r="AA23" t="str">
        <f>"10461-1400"</f>
        <v>10461-1400</v>
      </c>
      <c r="AB23" t="s">
        <v>217</v>
      </c>
      <c r="AC23" t="s">
        <v>112</v>
      </c>
      <c r="AD23" t="s">
        <v>107</v>
      </c>
      <c r="AE23" t="s">
        <v>113</v>
      </c>
      <c r="AG23" t="s">
        <v>114</v>
      </c>
    </row>
    <row r="24" spans="1:33" x14ac:dyDescent="0.25">
      <c r="A24" t="str">
        <f>"1972701092"</f>
        <v>1972701092</v>
      </c>
      <c r="B24" t="str">
        <f>"02905939"</f>
        <v>02905939</v>
      </c>
      <c r="C24" t="s">
        <v>218</v>
      </c>
      <c r="D24" t="s">
        <v>219</v>
      </c>
      <c r="E24" t="s">
        <v>220</v>
      </c>
      <c r="G24" t="s">
        <v>221</v>
      </c>
      <c r="H24" t="s">
        <v>222</v>
      </c>
      <c r="I24">
        <v>203</v>
      </c>
      <c r="J24" t="s">
        <v>223</v>
      </c>
      <c r="L24" t="s">
        <v>215</v>
      </c>
      <c r="M24" t="s">
        <v>167</v>
      </c>
      <c r="R24" t="s">
        <v>218</v>
      </c>
      <c r="W24" t="s">
        <v>220</v>
      </c>
      <c r="X24" t="s">
        <v>224</v>
      </c>
      <c r="Y24" t="s">
        <v>225</v>
      </c>
      <c r="Z24" t="s">
        <v>110</v>
      </c>
      <c r="AA24" t="str">
        <f>"11355-5044"</f>
        <v>11355-5044</v>
      </c>
      <c r="AB24" t="s">
        <v>172</v>
      </c>
      <c r="AC24" t="s">
        <v>112</v>
      </c>
      <c r="AD24" t="s">
        <v>107</v>
      </c>
      <c r="AE24" t="s">
        <v>113</v>
      </c>
      <c r="AG24" t="s">
        <v>114</v>
      </c>
    </row>
    <row r="25" spans="1:33" x14ac:dyDescent="0.25">
      <c r="A25" t="str">
        <f>"1326019878"</f>
        <v>1326019878</v>
      </c>
      <c r="B25" t="str">
        <f>"01836057"</f>
        <v>01836057</v>
      </c>
      <c r="C25" t="s">
        <v>226</v>
      </c>
      <c r="D25" t="s">
        <v>227</v>
      </c>
      <c r="E25" t="s">
        <v>228</v>
      </c>
      <c r="G25" t="s">
        <v>229</v>
      </c>
      <c r="H25" t="s">
        <v>230</v>
      </c>
      <c r="J25" t="s">
        <v>231</v>
      </c>
      <c r="L25" t="s">
        <v>106</v>
      </c>
      <c r="M25" t="s">
        <v>107</v>
      </c>
      <c r="R25" t="s">
        <v>232</v>
      </c>
      <c r="W25" t="s">
        <v>233</v>
      </c>
      <c r="X25" t="s">
        <v>234</v>
      </c>
      <c r="Y25" t="s">
        <v>235</v>
      </c>
      <c r="Z25" t="s">
        <v>110</v>
      </c>
      <c r="AA25" t="str">
        <f>"11360-2810"</f>
        <v>11360-2810</v>
      </c>
      <c r="AB25" t="s">
        <v>172</v>
      </c>
      <c r="AC25" t="s">
        <v>112</v>
      </c>
      <c r="AD25" t="s">
        <v>107</v>
      </c>
      <c r="AE25" t="s">
        <v>113</v>
      </c>
      <c r="AG25" t="s">
        <v>114</v>
      </c>
    </row>
    <row r="26" spans="1:33" x14ac:dyDescent="0.25">
      <c r="A26" t="str">
        <f>"1427283944"</f>
        <v>1427283944</v>
      </c>
      <c r="B26" t="str">
        <f>"03233887"</f>
        <v>03233887</v>
      </c>
      <c r="C26" t="s">
        <v>236</v>
      </c>
      <c r="D26" t="s">
        <v>237</v>
      </c>
      <c r="E26" t="s">
        <v>236</v>
      </c>
      <c r="G26" t="s">
        <v>176</v>
      </c>
      <c r="H26" t="s">
        <v>177</v>
      </c>
      <c r="I26">
        <v>3264</v>
      </c>
      <c r="J26" t="s">
        <v>178</v>
      </c>
      <c r="L26" t="s">
        <v>166</v>
      </c>
      <c r="M26" t="s">
        <v>167</v>
      </c>
      <c r="R26" t="s">
        <v>236</v>
      </c>
      <c r="W26" t="s">
        <v>238</v>
      </c>
      <c r="X26" t="s">
        <v>239</v>
      </c>
      <c r="Y26" t="s">
        <v>240</v>
      </c>
      <c r="Z26" t="s">
        <v>110</v>
      </c>
      <c r="AA26" t="str">
        <f>"11216-3903"</f>
        <v>11216-3903</v>
      </c>
      <c r="AB26" t="s">
        <v>172</v>
      </c>
      <c r="AC26" t="s">
        <v>112</v>
      </c>
      <c r="AD26" t="s">
        <v>107</v>
      </c>
      <c r="AE26" t="s">
        <v>113</v>
      </c>
      <c r="AG26" t="s">
        <v>114</v>
      </c>
    </row>
    <row r="27" spans="1:33" x14ac:dyDescent="0.25">
      <c r="A27" t="str">
        <f>"1093892267"</f>
        <v>1093892267</v>
      </c>
      <c r="B27" t="str">
        <f>"03060551"</f>
        <v>03060551</v>
      </c>
      <c r="C27" t="s">
        <v>241</v>
      </c>
      <c r="D27" t="s">
        <v>242</v>
      </c>
      <c r="E27" t="s">
        <v>243</v>
      </c>
      <c r="G27" t="s">
        <v>244</v>
      </c>
      <c r="H27" t="s">
        <v>245</v>
      </c>
      <c r="I27">
        <v>3484</v>
      </c>
      <c r="J27" t="s">
        <v>246</v>
      </c>
      <c r="L27" t="s">
        <v>106</v>
      </c>
      <c r="M27" t="s">
        <v>107</v>
      </c>
      <c r="R27" t="s">
        <v>241</v>
      </c>
      <c r="W27" t="s">
        <v>243</v>
      </c>
      <c r="X27" t="s">
        <v>247</v>
      </c>
      <c r="Y27" t="s">
        <v>240</v>
      </c>
      <c r="Z27" t="s">
        <v>110</v>
      </c>
      <c r="AA27" t="str">
        <f>"11215-3609"</f>
        <v>11215-3609</v>
      </c>
      <c r="AB27" t="s">
        <v>172</v>
      </c>
      <c r="AC27" t="s">
        <v>112</v>
      </c>
      <c r="AD27" t="s">
        <v>107</v>
      </c>
      <c r="AE27" t="s">
        <v>113</v>
      </c>
      <c r="AG27" t="s">
        <v>114</v>
      </c>
    </row>
    <row r="28" spans="1:33" x14ac:dyDescent="0.25">
      <c r="A28" t="str">
        <f>"1306967211"</f>
        <v>1306967211</v>
      </c>
      <c r="B28" t="str">
        <f>"00374552"</f>
        <v>00374552</v>
      </c>
      <c r="C28" t="s">
        <v>248</v>
      </c>
      <c r="D28" t="s">
        <v>249</v>
      </c>
      <c r="E28" t="s">
        <v>250</v>
      </c>
      <c r="G28" t="s">
        <v>251</v>
      </c>
      <c r="H28" t="s">
        <v>252</v>
      </c>
      <c r="I28">
        <v>215</v>
      </c>
      <c r="J28" t="s">
        <v>253</v>
      </c>
      <c r="L28" t="s">
        <v>215</v>
      </c>
      <c r="M28" t="s">
        <v>167</v>
      </c>
      <c r="R28" t="s">
        <v>248</v>
      </c>
      <c r="W28" t="s">
        <v>254</v>
      </c>
      <c r="X28" t="s">
        <v>255</v>
      </c>
      <c r="Y28" t="s">
        <v>240</v>
      </c>
      <c r="Z28" t="s">
        <v>110</v>
      </c>
      <c r="AA28" t="str">
        <f>"11201-6720"</f>
        <v>11201-6720</v>
      </c>
      <c r="AB28" t="s">
        <v>172</v>
      </c>
      <c r="AC28" t="s">
        <v>112</v>
      </c>
      <c r="AD28" t="s">
        <v>107</v>
      </c>
      <c r="AE28" t="s">
        <v>113</v>
      </c>
      <c r="AG28" t="s">
        <v>114</v>
      </c>
    </row>
    <row r="29" spans="1:33" x14ac:dyDescent="0.25">
      <c r="A29" t="str">
        <f>"1962428904"</f>
        <v>1962428904</v>
      </c>
      <c r="B29" t="str">
        <f>"03431096"</f>
        <v>03431096</v>
      </c>
      <c r="C29" t="s">
        <v>256</v>
      </c>
      <c r="D29" t="s">
        <v>257</v>
      </c>
      <c r="E29" t="s">
        <v>256</v>
      </c>
      <c r="G29" t="s">
        <v>176</v>
      </c>
      <c r="H29" t="s">
        <v>177</v>
      </c>
      <c r="I29">
        <v>3264</v>
      </c>
      <c r="J29" t="s">
        <v>178</v>
      </c>
      <c r="L29" t="s">
        <v>166</v>
      </c>
      <c r="M29" t="s">
        <v>167</v>
      </c>
      <c r="R29" t="s">
        <v>256</v>
      </c>
      <c r="W29" t="s">
        <v>258</v>
      </c>
      <c r="X29" t="s">
        <v>259</v>
      </c>
      <c r="Y29" t="s">
        <v>183</v>
      </c>
      <c r="Z29" t="s">
        <v>110</v>
      </c>
      <c r="AA29" t="str">
        <f>"10452-2001"</f>
        <v>10452-2001</v>
      </c>
      <c r="AB29" t="s">
        <v>172</v>
      </c>
      <c r="AC29" t="s">
        <v>112</v>
      </c>
      <c r="AD29" t="s">
        <v>107</v>
      </c>
      <c r="AE29" t="s">
        <v>113</v>
      </c>
      <c r="AG29" t="s">
        <v>114</v>
      </c>
    </row>
    <row r="30" spans="1:33" x14ac:dyDescent="0.25">
      <c r="A30" t="str">
        <f>"1457347999"</f>
        <v>1457347999</v>
      </c>
      <c r="B30" t="str">
        <f>"02422273"</f>
        <v>02422273</v>
      </c>
      <c r="C30" t="s">
        <v>260</v>
      </c>
      <c r="D30" t="s">
        <v>261</v>
      </c>
      <c r="E30" t="s">
        <v>262</v>
      </c>
      <c r="G30" t="s">
        <v>195</v>
      </c>
      <c r="H30" t="s">
        <v>196</v>
      </c>
      <c r="J30" t="s">
        <v>197</v>
      </c>
      <c r="L30" t="s">
        <v>215</v>
      </c>
      <c r="M30" t="s">
        <v>167</v>
      </c>
      <c r="R30" t="s">
        <v>260</v>
      </c>
      <c r="W30" t="s">
        <v>262</v>
      </c>
      <c r="X30" t="s">
        <v>263</v>
      </c>
      <c r="Y30" t="s">
        <v>264</v>
      </c>
      <c r="Z30" t="s">
        <v>110</v>
      </c>
      <c r="AA30" t="str">
        <f>"11501-4074"</f>
        <v>11501-4074</v>
      </c>
      <c r="AB30" t="s">
        <v>172</v>
      </c>
      <c r="AC30" t="s">
        <v>112</v>
      </c>
      <c r="AD30" t="s">
        <v>107</v>
      </c>
      <c r="AE30" t="s">
        <v>113</v>
      </c>
      <c r="AG30" t="s">
        <v>114</v>
      </c>
    </row>
    <row r="31" spans="1:33" x14ac:dyDescent="0.25">
      <c r="A31" t="str">
        <f>"1144208497"</f>
        <v>1144208497</v>
      </c>
      <c r="B31" t="str">
        <f>"03563673"</f>
        <v>03563673</v>
      </c>
      <c r="C31" t="s">
        <v>265</v>
      </c>
      <c r="D31" t="s">
        <v>266</v>
      </c>
      <c r="E31" t="s">
        <v>265</v>
      </c>
      <c r="G31" t="s">
        <v>267</v>
      </c>
      <c r="H31" t="s">
        <v>268</v>
      </c>
      <c r="I31">
        <v>4223</v>
      </c>
      <c r="J31" t="s">
        <v>269</v>
      </c>
      <c r="L31" t="s">
        <v>106</v>
      </c>
      <c r="M31" t="s">
        <v>107</v>
      </c>
      <c r="R31" t="s">
        <v>265</v>
      </c>
      <c r="W31" t="s">
        <v>265</v>
      </c>
      <c r="X31" t="s">
        <v>270</v>
      </c>
      <c r="Y31" t="s">
        <v>271</v>
      </c>
      <c r="Z31" t="s">
        <v>110</v>
      </c>
      <c r="AA31" t="str">
        <f>"11530-3219"</f>
        <v>11530-3219</v>
      </c>
      <c r="AB31" t="s">
        <v>172</v>
      </c>
      <c r="AC31" t="s">
        <v>112</v>
      </c>
      <c r="AD31" t="s">
        <v>107</v>
      </c>
      <c r="AE31" t="s">
        <v>113</v>
      </c>
      <c r="AG31" t="s">
        <v>114</v>
      </c>
    </row>
    <row r="32" spans="1:33" x14ac:dyDescent="0.25">
      <c r="A32" t="str">
        <f>"1538336060"</f>
        <v>1538336060</v>
      </c>
      <c r="C32" t="s">
        <v>272</v>
      </c>
      <c r="G32" t="s">
        <v>273</v>
      </c>
      <c r="H32" t="s">
        <v>274</v>
      </c>
      <c r="J32" t="s">
        <v>275</v>
      </c>
      <c r="K32" t="s">
        <v>276</v>
      </c>
      <c r="L32" t="s">
        <v>106</v>
      </c>
      <c r="M32" t="s">
        <v>107</v>
      </c>
      <c r="R32" t="s">
        <v>272</v>
      </c>
      <c r="S32" t="s">
        <v>277</v>
      </c>
      <c r="T32" t="s">
        <v>200</v>
      </c>
      <c r="U32" t="s">
        <v>110</v>
      </c>
      <c r="V32" t="str">
        <f>"113726300"</f>
        <v>113726300</v>
      </c>
      <c r="AC32" t="s">
        <v>112</v>
      </c>
      <c r="AD32" t="s">
        <v>107</v>
      </c>
      <c r="AE32" t="s">
        <v>278</v>
      </c>
      <c r="AG32" t="s">
        <v>114</v>
      </c>
    </row>
    <row r="33" spans="1:33" x14ac:dyDescent="0.25">
      <c r="A33" t="str">
        <f>"1750489423"</f>
        <v>1750489423</v>
      </c>
      <c r="B33" t="str">
        <f>"00843123"</f>
        <v>00843123</v>
      </c>
      <c r="C33" t="s">
        <v>279</v>
      </c>
      <c r="D33" t="s">
        <v>280</v>
      </c>
      <c r="E33" t="s">
        <v>281</v>
      </c>
      <c r="G33" t="s">
        <v>212</v>
      </c>
      <c r="H33" t="s">
        <v>213</v>
      </c>
      <c r="J33" t="s">
        <v>214</v>
      </c>
      <c r="L33" t="s">
        <v>215</v>
      </c>
      <c r="M33" t="s">
        <v>167</v>
      </c>
      <c r="R33" t="s">
        <v>279</v>
      </c>
      <c r="W33" t="s">
        <v>281</v>
      </c>
      <c r="X33" t="s">
        <v>282</v>
      </c>
      <c r="Y33" t="s">
        <v>109</v>
      </c>
      <c r="Z33" t="s">
        <v>110</v>
      </c>
      <c r="AA33" t="str">
        <f>"11374-3335"</f>
        <v>11374-3335</v>
      </c>
      <c r="AB33" t="s">
        <v>172</v>
      </c>
      <c r="AC33" t="s">
        <v>112</v>
      </c>
      <c r="AD33" t="s">
        <v>107</v>
      </c>
      <c r="AE33" t="s">
        <v>113</v>
      </c>
      <c r="AG33" t="s">
        <v>114</v>
      </c>
    </row>
    <row r="34" spans="1:33" x14ac:dyDescent="0.25">
      <c r="A34" t="str">
        <f>"1376850065"</f>
        <v>1376850065</v>
      </c>
      <c r="B34" t="str">
        <f>"03743280"</f>
        <v>03743280</v>
      </c>
      <c r="C34" t="s">
        <v>283</v>
      </c>
      <c r="D34" t="s">
        <v>284</v>
      </c>
      <c r="E34" t="s">
        <v>285</v>
      </c>
      <c r="G34" t="s">
        <v>212</v>
      </c>
      <c r="H34" t="s">
        <v>213</v>
      </c>
      <c r="J34" t="s">
        <v>214</v>
      </c>
      <c r="L34" t="s">
        <v>215</v>
      </c>
      <c r="M34" t="s">
        <v>167</v>
      </c>
      <c r="R34" t="s">
        <v>283</v>
      </c>
      <c r="W34" t="s">
        <v>285</v>
      </c>
      <c r="X34" t="s">
        <v>286</v>
      </c>
      <c r="Y34" t="s">
        <v>183</v>
      </c>
      <c r="Z34" t="s">
        <v>110</v>
      </c>
      <c r="AA34" t="str">
        <f>"10459-3204"</f>
        <v>10459-3204</v>
      </c>
      <c r="AB34" t="s">
        <v>172</v>
      </c>
      <c r="AC34" t="s">
        <v>112</v>
      </c>
      <c r="AD34" t="s">
        <v>107</v>
      </c>
      <c r="AE34" t="s">
        <v>113</v>
      </c>
      <c r="AG34" t="s">
        <v>114</v>
      </c>
    </row>
    <row r="35" spans="1:33" x14ac:dyDescent="0.25">
      <c r="A35" t="str">
        <f>"1972608875"</f>
        <v>1972608875</v>
      </c>
      <c r="B35" t="str">
        <f>"02885023"</f>
        <v>02885023</v>
      </c>
      <c r="C35" t="s">
        <v>287</v>
      </c>
      <c r="D35" t="s">
        <v>288</v>
      </c>
      <c r="E35" t="s">
        <v>287</v>
      </c>
      <c r="G35" t="s">
        <v>289</v>
      </c>
      <c r="H35" t="s">
        <v>290</v>
      </c>
      <c r="J35" t="s">
        <v>291</v>
      </c>
      <c r="L35" t="s">
        <v>117</v>
      </c>
      <c r="M35" t="s">
        <v>107</v>
      </c>
      <c r="R35" t="s">
        <v>287</v>
      </c>
      <c r="W35" t="s">
        <v>292</v>
      </c>
      <c r="X35" t="s">
        <v>293</v>
      </c>
      <c r="Y35" t="s">
        <v>294</v>
      </c>
      <c r="Z35" t="s">
        <v>110</v>
      </c>
      <c r="AA35" t="str">
        <f>"11570-1000"</f>
        <v>11570-1000</v>
      </c>
      <c r="AB35" t="s">
        <v>172</v>
      </c>
      <c r="AC35" t="s">
        <v>112</v>
      </c>
      <c r="AD35" t="s">
        <v>107</v>
      </c>
      <c r="AE35" t="s">
        <v>113</v>
      </c>
      <c r="AG35" t="s">
        <v>114</v>
      </c>
    </row>
    <row r="36" spans="1:33" x14ac:dyDescent="0.25">
      <c r="A36" t="str">
        <f>"1912110388"</f>
        <v>1912110388</v>
      </c>
      <c r="B36" t="str">
        <f>"03354652"</f>
        <v>03354652</v>
      </c>
      <c r="C36" t="s">
        <v>295</v>
      </c>
      <c r="D36" t="s">
        <v>296</v>
      </c>
      <c r="E36" t="s">
        <v>297</v>
      </c>
      <c r="G36" t="s">
        <v>289</v>
      </c>
      <c r="H36" t="s">
        <v>290</v>
      </c>
      <c r="J36" t="s">
        <v>291</v>
      </c>
      <c r="L36" t="s">
        <v>117</v>
      </c>
      <c r="M36" t="s">
        <v>167</v>
      </c>
      <c r="R36" t="s">
        <v>295</v>
      </c>
      <c r="W36" t="s">
        <v>297</v>
      </c>
      <c r="X36" t="s">
        <v>298</v>
      </c>
      <c r="Y36" t="s">
        <v>299</v>
      </c>
      <c r="Z36" t="s">
        <v>110</v>
      </c>
      <c r="AA36" t="str">
        <f>"11575-1343"</f>
        <v>11575-1343</v>
      </c>
      <c r="AB36" t="s">
        <v>172</v>
      </c>
      <c r="AC36" t="s">
        <v>112</v>
      </c>
      <c r="AD36" t="s">
        <v>107</v>
      </c>
      <c r="AE36" t="s">
        <v>113</v>
      </c>
      <c r="AG36" t="s">
        <v>114</v>
      </c>
    </row>
    <row r="37" spans="1:33" x14ac:dyDescent="0.25">
      <c r="A37" t="str">
        <f>"1023335882"</f>
        <v>1023335882</v>
      </c>
      <c r="B37" t="str">
        <f>"03291976"</f>
        <v>03291976</v>
      </c>
      <c r="C37" t="s">
        <v>300</v>
      </c>
      <c r="D37" t="s">
        <v>301</v>
      </c>
      <c r="E37" t="s">
        <v>302</v>
      </c>
      <c r="G37" t="s">
        <v>289</v>
      </c>
      <c r="H37" t="s">
        <v>290</v>
      </c>
      <c r="J37" t="s">
        <v>291</v>
      </c>
      <c r="L37" t="s">
        <v>117</v>
      </c>
      <c r="M37" t="s">
        <v>167</v>
      </c>
      <c r="R37" t="s">
        <v>300</v>
      </c>
      <c r="W37" t="s">
        <v>302</v>
      </c>
      <c r="X37" t="s">
        <v>303</v>
      </c>
      <c r="Y37" t="s">
        <v>304</v>
      </c>
      <c r="Z37" t="s">
        <v>110</v>
      </c>
      <c r="AA37" t="str">
        <f>"11791-3913"</f>
        <v>11791-3913</v>
      </c>
      <c r="AB37" t="s">
        <v>172</v>
      </c>
      <c r="AC37" t="s">
        <v>112</v>
      </c>
      <c r="AD37" t="s">
        <v>107</v>
      </c>
      <c r="AE37" t="s">
        <v>113</v>
      </c>
      <c r="AG37" t="s">
        <v>114</v>
      </c>
    </row>
    <row r="38" spans="1:33" x14ac:dyDescent="0.25">
      <c r="A38" t="str">
        <f>"1710069158"</f>
        <v>1710069158</v>
      </c>
      <c r="B38" t="str">
        <f>"00200793"</f>
        <v>00200793</v>
      </c>
      <c r="C38" t="s">
        <v>305</v>
      </c>
      <c r="D38" t="s">
        <v>306</v>
      </c>
      <c r="E38" t="s">
        <v>307</v>
      </c>
      <c r="G38" t="s">
        <v>308</v>
      </c>
      <c r="H38" t="s">
        <v>309</v>
      </c>
      <c r="J38" t="s">
        <v>310</v>
      </c>
      <c r="L38" t="s">
        <v>215</v>
      </c>
      <c r="M38" t="s">
        <v>107</v>
      </c>
      <c r="R38" t="s">
        <v>305</v>
      </c>
      <c r="W38" t="s">
        <v>307</v>
      </c>
      <c r="X38" t="s">
        <v>311</v>
      </c>
      <c r="Y38" t="s">
        <v>225</v>
      </c>
      <c r="Z38" t="s">
        <v>110</v>
      </c>
      <c r="AA38" t="str">
        <f>"11355-5045"</f>
        <v>11355-5045</v>
      </c>
      <c r="AB38" t="s">
        <v>172</v>
      </c>
      <c r="AC38" t="s">
        <v>112</v>
      </c>
      <c r="AD38" t="s">
        <v>107</v>
      </c>
      <c r="AE38" t="s">
        <v>113</v>
      </c>
      <c r="AG38" t="s">
        <v>114</v>
      </c>
    </row>
    <row r="39" spans="1:33" x14ac:dyDescent="0.25">
      <c r="A39" t="str">
        <f>"1801812094"</f>
        <v>1801812094</v>
      </c>
      <c r="B39" t="str">
        <f>"01947575"</f>
        <v>01947575</v>
      </c>
      <c r="C39" t="s">
        <v>312</v>
      </c>
      <c r="D39" t="s">
        <v>313</v>
      </c>
      <c r="E39" t="s">
        <v>314</v>
      </c>
      <c r="G39" t="s">
        <v>308</v>
      </c>
      <c r="H39" t="s">
        <v>309</v>
      </c>
      <c r="J39" t="s">
        <v>310</v>
      </c>
      <c r="L39" t="s">
        <v>315</v>
      </c>
      <c r="M39" t="s">
        <v>167</v>
      </c>
      <c r="R39" t="s">
        <v>312</v>
      </c>
      <c r="W39" t="s">
        <v>314</v>
      </c>
      <c r="X39" t="s">
        <v>316</v>
      </c>
      <c r="Y39" t="s">
        <v>183</v>
      </c>
      <c r="Z39" t="s">
        <v>110</v>
      </c>
      <c r="AA39" t="str">
        <f>"10456-3402"</f>
        <v>10456-3402</v>
      </c>
      <c r="AB39" t="s">
        <v>172</v>
      </c>
      <c r="AC39" t="s">
        <v>112</v>
      </c>
      <c r="AD39" t="s">
        <v>107</v>
      </c>
      <c r="AE39" t="s">
        <v>113</v>
      </c>
      <c r="AG39" t="s">
        <v>114</v>
      </c>
    </row>
    <row r="40" spans="1:33" x14ac:dyDescent="0.25">
      <c r="A40" t="str">
        <f>"1912951344"</f>
        <v>1912951344</v>
      </c>
      <c r="B40" t="str">
        <f>"00585117"</f>
        <v>00585117</v>
      </c>
      <c r="C40" t="s">
        <v>317</v>
      </c>
      <c r="D40" t="s">
        <v>318</v>
      </c>
      <c r="E40" t="s">
        <v>319</v>
      </c>
      <c r="G40" t="s">
        <v>308</v>
      </c>
      <c r="H40" t="s">
        <v>309</v>
      </c>
      <c r="J40" t="s">
        <v>310</v>
      </c>
      <c r="L40" t="s">
        <v>215</v>
      </c>
      <c r="M40" t="s">
        <v>107</v>
      </c>
      <c r="R40" t="s">
        <v>317</v>
      </c>
      <c r="W40" t="s">
        <v>319</v>
      </c>
      <c r="X40" t="s">
        <v>320</v>
      </c>
      <c r="Y40" t="s">
        <v>225</v>
      </c>
      <c r="Z40" t="s">
        <v>110</v>
      </c>
      <c r="AA40" t="str">
        <f>"11355-5060"</f>
        <v>11355-5060</v>
      </c>
      <c r="AB40" t="s">
        <v>172</v>
      </c>
      <c r="AC40" t="s">
        <v>112</v>
      </c>
      <c r="AD40" t="s">
        <v>107</v>
      </c>
      <c r="AE40" t="s">
        <v>113</v>
      </c>
      <c r="AG40" t="s">
        <v>114</v>
      </c>
    </row>
    <row r="41" spans="1:33" x14ac:dyDescent="0.25">
      <c r="A41" t="str">
        <f>"1629119300"</f>
        <v>1629119300</v>
      </c>
      <c r="B41" t="str">
        <f>"02290077"</f>
        <v>02290077</v>
      </c>
      <c r="C41" t="s">
        <v>321</v>
      </c>
      <c r="D41" t="s">
        <v>322</v>
      </c>
      <c r="E41" t="s">
        <v>323</v>
      </c>
      <c r="G41" t="s">
        <v>308</v>
      </c>
      <c r="H41" t="s">
        <v>309</v>
      </c>
      <c r="J41" t="s">
        <v>310</v>
      </c>
      <c r="L41" t="s">
        <v>106</v>
      </c>
      <c r="M41" t="s">
        <v>167</v>
      </c>
      <c r="R41" t="s">
        <v>321</v>
      </c>
      <c r="W41" t="s">
        <v>323</v>
      </c>
      <c r="X41" t="s">
        <v>324</v>
      </c>
      <c r="Y41" t="s">
        <v>325</v>
      </c>
      <c r="Z41" t="s">
        <v>110</v>
      </c>
      <c r="AA41" t="str">
        <f>"10027-4201"</f>
        <v>10027-4201</v>
      </c>
      <c r="AB41" t="s">
        <v>326</v>
      </c>
      <c r="AC41" t="s">
        <v>112</v>
      </c>
      <c r="AD41" t="s">
        <v>107</v>
      </c>
      <c r="AE41" t="s">
        <v>113</v>
      </c>
      <c r="AG41" t="s">
        <v>114</v>
      </c>
    </row>
    <row r="42" spans="1:33" x14ac:dyDescent="0.25">
      <c r="A42" t="str">
        <f>"1700865854"</f>
        <v>1700865854</v>
      </c>
      <c r="B42" t="str">
        <f>"01979079"</f>
        <v>01979079</v>
      </c>
      <c r="C42" t="s">
        <v>327</v>
      </c>
      <c r="D42" t="s">
        <v>328</v>
      </c>
      <c r="E42" t="s">
        <v>329</v>
      </c>
      <c r="G42" t="s">
        <v>308</v>
      </c>
      <c r="H42" t="s">
        <v>309</v>
      </c>
      <c r="J42" t="s">
        <v>310</v>
      </c>
      <c r="L42" t="s">
        <v>215</v>
      </c>
      <c r="M42" t="s">
        <v>107</v>
      </c>
      <c r="R42" t="s">
        <v>327</v>
      </c>
      <c r="W42" t="s">
        <v>329</v>
      </c>
      <c r="X42" t="s">
        <v>330</v>
      </c>
      <c r="Y42" t="s">
        <v>225</v>
      </c>
      <c r="Z42" t="s">
        <v>110</v>
      </c>
      <c r="AA42" t="str">
        <f>"11358-1922"</f>
        <v>11358-1922</v>
      </c>
      <c r="AB42" t="s">
        <v>217</v>
      </c>
      <c r="AC42" t="s">
        <v>112</v>
      </c>
      <c r="AD42" t="s">
        <v>107</v>
      </c>
      <c r="AE42" t="s">
        <v>113</v>
      </c>
      <c r="AG42" t="s">
        <v>114</v>
      </c>
    </row>
    <row r="43" spans="1:33" x14ac:dyDescent="0.25">
      <c r="A43" t="str">
        <f>"1326079153"</f>
        <v>1326079153</v>
      </c>
      <c r="B43" t="str">
        <f>"00856780"</f>
        <v>00856780</v>
      </c>
      <c r="C43" t="s">
        <v>331</v>
      </c>
      <c r="D43" t="s">
        <v>332</v>
      </c>
      <c r="E43" t="s">
        <v>333</v>
      </c>
      <c r="G43" t="s">
        <v>308</v>
      </c>
      <c r="H43" t="s">
        <v>309</v>
      </c>
      <c r="J43" t="s">
        <v>310</v>
      </c>
      <c r="L43" t="s">
        <v>106</v>
      </c>
      <c r="M43" t="s">
        <v>107</v>
      </c>
      <c r="R43" t="s">
        <v>331</v>
      </c>
      <c r="W43" t="s">
        <v>333</v>
      </c>
      <c r="Y43" t="s">
        <v>325</v>
      </c>
      <c r="Z43" t="s">
        <v>110</v>
      </c>
      <c r="AA43" t="str">
        <f>"10021-9800"</f>
        <v>10021-9800</v>
      </c>
      <c r="AB43" t="s">
        <v>172</v>
      </c>
      <c r="AC43" t="s">
        <v>112</v>
      </c>
      <c r="AD43" t="s">
        <v>107</v>
      </c>
      <c r="AE43" t="s">
        <v>113</v>
      </c>
      <c r="AG43" t="s">
        <v>114</v>
      </c>
    </row>
    <row r="44" spans="1:33" x14ac:dyDescent="0.25">
      <c r="A44" t="str">
        <f>"1699832667"</f>
        <v>1699832667</v>
      </c>
      <c r="B44" t="str">
        <f>"00711739"</f>
        <v>00711739</v>
      </c>
      <c r="C44" t="s">
        <v>334</v>
      </c>
      <c r="D44" t="s">
        <v>335</v>
      </c>
      <c r="E44" t="s">
        <v>336</v>
      </c>
      <c r="G44" t="s">
        <v>308</v>
      </c>
      <c r="H44" t="s">
        <v>309</v>
      </c>
      <c r="J44" t="s">
        <v>310</v>
      </c>
      <c r="L44" t="s">
        <v>215</v>
      </c>
      <c r="M44" t="s">
        <v>107</v>
      </c>
      <c r="R44" t="s">
        <v>334</v>
      </c>
      <c r="W44" t="s">
        <v>336</v>
      </c>
      <c r="X44" t="s">
        <v>337</v>
      </c>
      <c r="Y44" t="s">
        <v>171</v>
      </c>
      <c r="Z44" t="s">
        <v>110</v>
      </c>
      <c r="AA44" t="str">
        <f>"11373-5540"</f>
        <v>11373-5540</v>
      </c>
      <c r="AB44" t="s">
        <v>172</v>
      </c>
      <c r="AC44" t="s">
        <v>112</v>
      </c>
      <c r="AD44" t="s">
        <v>107</v>
      </c>
      <c r="AE44" t="s">
        <v>113</v>
      </c>
      <c r="AG44" t="s">
        <v>114</v>
      </c>
    </row>
    <row r="45" spans="1:33" x14ac:dyDescent="0.25">
      <c r="A45" t="str">
        <f>"1619961521"</f>
        <v>1619961521</v>
      </c>
      <c r="B45" t="str">
        <f>"00415563"</f>
        <v>00415563</v>
      </c>
      <c r="C45" t="s">
        <v>338</v>
      </c>
      <c r="D45" t="s">
        <v>339</v>
      </c>
      <c r="E45" t="s">
        <v>340</v>
      </c>
      <c r="G45" t="s">
        <v>308</v>
      </c>
      <c r="H45" t="s">
        <v>309</v>
      </c>
      <c r="J45" t="s">
        <v>310</v>
      </c>
      <c r="L45" t="s">
        <v>215</v>
      </c>
      <c r="M45" t="s">
        <v>107</v>
      </c>
      <c r="R45" t="s">
        <v>338</v>
      </c>
      <c r="W45" t="s">
        <v>340</v>
      </c>
      <c r="X45" t="s">
        <v>341</v>
      </c>
      <c r="Y45" t="s">
        <v>342</v>
      </c>
      <c r="Z45" t="s">
        <v>110</v>
      </c>
      <c r="AA45" t="str">
        <f>"11419-2709"</f>
        <v>11419-2709</v>
      </c>
      <c r="AB45" t="s">
        <v>217</v>
      </c>
      <c r="AC45" t="s">
        <v>112</v>
      </c>
      <c r="AD45" t="s">
        <v>107</v>
      </c>
      <c r="AE45" t="s">
        <v>113</v>
      </c>
      <c r="AG45" t="s">
        <v>114</v>
      </c>
    </row>
    <row r="46" spans="1:33" x14ac:dyDescent="0.25">
      <c r="A46" t="str">
        <f>"1124008701"</f>
        <v>1124008701</v>
      </c>
      <c r="B46" t="str">
        <f>"01808442"</f>
        <v>01808442</v>
      </c>
      <c r="C46" t="s">
        <v>343</v>
      </c>
      <c r="D46" t="s">
        <v>344</v>
      </c>
      <c r="E46" t="s">
        <v>345</v>
      </c>
      <c r="G46" t="s">
        <v>308</v>
      </c>
      <c r="H46" t="s">
        <v>309</v>
      </c>
      <c r="J46" t="s">
        <v>310</v>
      </c>
      <c r="L46" t="s">
        <v>215</v>
      </c>
      <c r="M46" t="s">
        <v>107</v>
      </c>
      <c r="R46" t="s">
        <v>343</v>
      </c>
      <c r="W46" t="s">
        <v>346</v>
      </c>
      <c r="X46" t="s">
        <v>347</v>
      </c>
      <c r="Y46" t="s">
        <v>225</v>
      </c>
      <c r="Z46" t="s">
        <v>110</v>
      </c>
      <c r="AA46" t="str">
        <f>"11358-1922"</f>
        <v>11358-1922</v>
      </c>
      <c r="AB46" t="s">
        <v>217</v>
      </c>
      <c r="AC46" t="s">
        <v>112</v>
      </c>
      <c r="AD46" t="s">
        <v>107</v>
      </c>
      <c r="AE46" t="s">
        <v>113</v>
      </c>
      <c r="AG46" t="s">
        <v>114</v>
      </c>
    </row>
    <row r="47" spans="1:33" x14ac:dyDescent="0.25">
      <c r="A47" t="str">
        <f>"1497893986"</f>
        <v>1497893986</v>
      </c>
      <c r="B47" t="str">
        <f>"01456362"</f>
        <v>01456362</v>
      </c>
      <c r="C47" t="s">
        <v>348</v>
      </c>
      <c r="D47" t="s">
        <v>349</v>
      </c>
      <c r="E47" t="s">
        <v>350</v>
      </c>
      <c r="G47" t="s">
        <v>308</v>
      </c>
      <c r="H47" t="s">
        <v>309</v>
      </c>
      <c r="J47" t="s">
        <v>310</v>
      </c>
      <c r="L47" t="s">
        <v>315</v>
      </c>
      <c r="M47" t="s">
        <v>107</v>
      </c>
      <c r="R47" t="s">
        <v>348</v>
      </c>
      <c r="W47" t="s">
        <v>350</v>
      </c>
      <c r="X47" t="s">
        <v>351</v>
      </c>
      <c r="Y47" t="s">
        <v>225</v>
      </c>
      <c r="Z47" t="s">
        <v>110</v>
      </c>
      <c r="AA47" t="str">
        <f>"11355-5046"</f>
        <v>11355-5046</v>
      </c>
      <c r="AB47" t="s">
        <v>172</v>
      </c>
      <c r="AC47" t="s">
        <v>112</v>
      </c>
      <c r="AD47" t="s">
        <v>107</v>
      </c>
      <c r="AE47" t="s">
        <v>113</v>
      </c>
      <c r="AG47" t="s">
        <v>114</v>
      </c>
    </row>
    <row r="48" spans="1:33" x14ac:dyDescent="0.25">
      <c r="A48" t="str">
        <f>"1972855104"</f>
        <v>1972855104</v>
      </c>
      <c r="B48" t="str">
        <f>"04332454"</f>
        <v>04332454</v>
      </c>
      <c r="C48" t="s">
        <v>352</v>
      </c>
      <c r="D48" t="s">
        <v>353</v>
      </c>
      <c r="E48" t="s">
        <v>354</v>
      </c>
      <c r="G48" t="s">
        <v>289</v>
      </c>
      <c r="H48" t="s">
        <v>290</v>
      </c>
      <c r="J48" t="s">
        <v>291</v>
      </c>
      <c r="L48" t="s">
        <v>117</v>
      </c>
      <c r="M48" t="s">
        <v>107</v>
      </c>
      <c r="R48" t="s">
        <v>352</v>
      </c>
      <c r="W48" t="s">
        <v>354</v>
      </c>
      <c r="X48" t="s">
        <v>355</v>
      </c>
      <c r="Y48" t="s">
        <v>356</v>
      </c>
      <c r="Z48" t="s">
        <v>110</v>
      </c>
      <c r="AA48" t="str">
        <f>"10701-4006"</f>
        <v>10701-4006</v>
      </c>
      <c r="AB48" t="s">
        <v>172</v>
      </c>
      <c r="AC48" t="s">
        <v>112</v>
      </c>
      <c r="AD48" t="s">
        <v>107</v>
      </c>
      <c r="AE48" t="s">
        <v>113</v>
      </c>
      <c r="AG48" t="s">
        <v>114</v>
      </c>
    </row>
    <row r="49" spans="1:35" x14ac:dyDescent="0.25">
      <c r="A49" t="str">
        <f>"1467444000"</f>
        <v>1467444000</v>
      </c>
      <c r="B49" t="str">
        <f>"00174149"</f>
        <v>00174149</v>
      </c>
      <c r="C49" t="s">
        <v>357</v>
      </c>
      <c r="D49" t="s">
        <v>358</v>
      </c>
      <c r="E49" t="s">
        <v>359</v>
      </c>
      <c r="G49" t="s">
        <v>360</v>
      </c>
      <c r="H49" t="s">
        <v>361</v>
      </c>
      <c r="I49">
        <v>122</v>
      </c>
      <c r="J49" t="s">
        <v>362</v>
      </c>
      <c r="L49" t="s">
        <v>166</v>
      </c>
      <c r="M49" t="s">
        <v>167</v>
      </c>
      <c r="R49" t="s">
        <v>357</v>
      </c>
      <c r="W49" t="s">
        <v>359</v>
      </c>
      <c r="X49" t="s">
        <v>363</v>
      </c>
      <c r="Y49" t="s">
        <v>240</v>
      </c>
      <c r="Z49" t="s">
        <v>110</v>
      </c>
      <c r="AA49" t="str">
        <f>"11213-4334"</f>
        <v>11213-4334</v>
      </c>
      <c r="AB49" t="s">
        <v>172</v>
      </c>
      <c r="AC49" t="s">
        <v>112</v>
      </c>
      <c r="AD49" t="s">
        <v>107</v>
      </c>
      <c r="AE49" t="s">
        <v>113</v>
      </c>
      <c r="AG49" t="s">
        <v>114</v>
      </c>
    </row>
    <row r="50" spans="1:35" x14ac:dyDescent="0.25">
      <c r="A50" t="str">
        <f>"1578737425"</f>
        <v>1578737425</v>
      </c>
      <c r="B50" t="str">
        <f>"03375537"</f>
        <v>03375537</v>
      </c>
      <c r="C50" t="s">
        <v>364</v>
      </c>
      <c r="D50" t="s">
        <v>365</v>
      </c>
      <c r="E50" t="s">
        <v>366</v>
      </c>
      <c r="G50" t="s">
        <v>176</v>
      </c>
      <c r="H50" t="s">
        <v>177</v>
      </c>
      <c r="I50">
        <v>3264</v>
      </c>
      <c r="J50" t="s">
        <v>178</v>
      </c>
      <c r="L50" t="s">
        <v>166</v>
      </c>
      <c r="M50" t="s">
        <v>167</v>
      </c>
      <c r="R50" t="s">
        <v>364</v>
      </c>
      <c r="W50" t="s">
        <v>364</v>
      </c>
      <c r="X50" t="s">
        <v>259</v>
      </c>
      <c r="Y50" t="s">
        <v>183</v>
      </c>
      <c r="Z50" t="s">
        <v>110</v>
      </c>
      <c r="AA50" t="str">
        <f>"10452-2001"</f>
        <v>10452-2001</v>
      </c>
      <c r="AB50" t="s">
        <v>172</v>
      </c>
      <c r="AC50" t="s">
        <v>112</v>
      </c>
      <c r="AD50" t="s">
        <v>107</v>
      </c>
      <c r="AE50" t="s">
        <v>113</v>
      </c>
      <c r="AG50" t="s">
        <v>114</v>
      </c>
    </row>
    <row r="51" spans="1:35" x14ac:dyDescent="0.25">
      <c r="A51" t="str">
        <f>"1811916208"</f>
        <v>1811916208</v>
      </c>
      <c r="B51" t="str">
        <f>"00589611"</f>
        <v>00589611</v>
      </c>
      <c r="C51" t="s">
        <v>367</v>
      </c>
      <c r="D51" t="s">
        <v>368</v>
      </c>
      <c r="E51" t="s">
        <v>369</v>
      </c>
      <c r="G51" t="s">
        <v>203</v>
      </c>
      <c r="H51" t="s">
        <v>204</v>
      </c>
      <c r="J51" t="s">
        <v>205</v>
      </c>
      <c r="L51" t="s">
        <v>215</v>
      </c>
      <c r="M51" t="s">
        <v>107</v>
      </c>
      <c r="R51" t="s">
        <v>367</v>
      </c>
      <c r="W51" t="s">
        <v>369</v>
      </c>
      <c r="X51" t="s">
        <v>370</v>
      </c>
      <c r="Y51" t="s">
        <v>240</v>
      </c>
      <c r="Z51" t="s">
        <v>110</v>
      </c>
      <c r="AA51" t="str">
        <f>"11234-5139"</f>
        <v>11234-5139</v>
      </c>
      <c r="AB51" t="s">
        <v>172</v>
      </c>
      <c r="AC51" t="s">
        <v>112</v>
      </c>
      <c r="AD51" t="s">
        <v>107</v>
      </c>
      <c r="AE51" t="s">
        <v>113</v>
      </c>
      <c r="AG51" t="s">
        <v>114</v>
      </c>
    </row>
    <row r="52" spans="1:35" x14ac:dyDescent="0.25">
      <c r="A52" t="str">
        <f>"1346239191"</f>
        <v>1346239191</v>
      </c>
      <c r="C52" t="s">
        <v>371</v>
      </c>
      <c r="G52" t="s">
        <v>221</v>
      </c>
      <c r="H52" t="s">
        <v>222</v>
      </c>
      <c r="I52">
        <v>203</v>
      </c>
      <c r="J52" t="s">
        <v>223</v>
      </c>
      <c r="K52" t="s">
        <v>372</v>
      </c>
      <c r="L52" t="s">
        <v>373</v>
      </c>
      <c r="M52" t="s">
        <v>107</v>
      </c>
      <c r="R52" t="s">
        <v>374</v>
      </c>
      <c r="S52" t="s">
        <v>375</v>
      </c>
      <c r="T52" t="s">
        <v>225</v>
      </c>
      <c r="U52" t="s">
        <v>110</v>
      </c>
      <c r="V52" t="str">
        <f>"113543524"</f>
        <v>113543524</v>
      </c>
      <c r="AC52" t="s">
        <v>112</v>
      </c>
      <c r="AD52" t="s">
        <v>107</v>
      </c>
      <c r="AE52" t="s">
        <v>278</v>
      </c>
      <c r="AG52" t="s">
        <v>114</v>
      </c>
      <c r="AI52" t="s">
        <v>376</v>
      </c>
    </row>
    <row r="53" spans="1:35" x14ac:dyDescent="0.25">
      <c r="A53" t="str">
        <f>"1285843904"</f>
        <v>1285843904</v>
      </c>
      <c r="C53" t="s">
        <v>377</v>
      </c>
      <c r="G53" t="s">
        <v>378</v>
      </c>
      <c r="H53" t="s">
        <v>379</v>
      </c>
      <c r="I53">
        <v>203</v>
      </c>
      <c r="J53" t="s">
        <v>380</v>
      </c>
      <c r="K53" t="s">
        <v>372</v>
      </c>
      <c r="L53" t="s">
        <v>373</v>
      </c>
      <c r="M53" t="s">
        <v>107</v>
      </c>
      <c r="R53" t="s">
        <v>381</v>
      </c>
      <c r="S53" t="s">
        <v>382</v>
      </c>
      <c r="T53" t="s">
        <v>225</v>
      </c>
      <c r="U53" t="s">
        <v>110</v>
      </c>
      <c r="V53" t="str">
        <f>"113545931"</f>
        <v>113545931</v>
      </c>
      <c r="AC53" t="s">
        <v>112</v>
      </c>
      <c r="AD53" t="s">
        <v>107</v>
      </c>
      <c r="AE53" t="s">
        <v>278</v>
      </c>
      <c r="AG53" t="s">
        <v>114</v>
      </c>
    </row>
    <row r="54" spans="1:35" x14ac:dyDescent="0.25">
      <c r="A54" t="str">
        <f>"1285792960"</f>
        <v>1285792960</v>
      </c>
      <c r="C54" t="s">
        <v>383</v>
      </c>
      <c r="G54" t="s">
        <v>378</v>
      </c>
      <c r="H54" t="s">
        <v>379</v>
      </c>
      <c r="I54">
        <v>203</v>
      </c>
      <c r="J54" t="s">
        <v>380</v>
      </c>
      <c r="K54" t="s">
        <v>372</v>
      </c>
      <c r="L54" t="s">
        <v>373</v>
      </c>
      <c r="M54" t="s">
        <v>107</v>
      </c>
      <c r="R54" t="s">
        <v>384</v>
      </c>
      <c r="S54" t="s">
        <v>382</v>
      </c>
      <c r="T54" t="s">
        <v>225</v>
      </c>
      <c r="U54" t="s">
        <v>110</v>
      </c>
      <c r="V54" t="str">
        <f>"113545931"</f>
        <v>113545931</v>
      </c>
      <c r="AC54" t="s">
        <v>112</v>
      </c>
      <c r="AD54" t="s">
        <v>107</v>
      </c>
      <c r="AE54" t="s">
        <v>278</v>
      </c>
      <c r="AG54" t="s">
        <v>114</v>
      </c>
      <c r="AI54" t="s">
        <v>376</v>
      </c>
    </row>
    <row r="55" spans="1:35" x14ac:dyDescent="0.25">
      <c r="A55" t="str">
        <f>"1346304292"</f>
        <v>1346304292</v>
      </c>
      <c r="C55" t="s">
        <v>385</v>
      </c>
      <c r="G55" t="s">
        <v>386</v>
      </c>
      <c r="H55" t="s">
        <v>387</v>
      </c>
      <c r="I55">
        <v>203</v>
      </c>
      <c r="J55" t="s">
        <v>388</v>
      </c>
      <c r="K55" t="s">
        <v>372</v>
      </c>
      <c r="L55" t="s">
        <v>373</v>
      </c>
      <c r="M55" t="s">
        <v>107</v>
      </c>
      <c r="R55" t="s">
        <v>389</v>
      </c>
      <c r="S55" t="s">
        <v>390</v>
      </c>
      <c r="T55" t="s">
        <v>225</v>
      </c>
      <c r="U55" t="s">
        <v>110</v>
      </c>
      <c r="V55" t="str">
        <f>"113544236"</f>
        <v>113544236</v>
      </c>
      <c r="AC55" t="s">
        <v>112</v>
      </c>
      <c r="AD55" t="s">
        <v>107</v>
      </c>
      <c r="AE55" t="s">
        <v>278</v>
      </c>
      <c r="AG55" t="s">
        <v>114</v>
      </c>
      <c r="AI55" t="s">
        <v>376</v>
      </c>
    </row>
    <row r="56" spans="1:35" x14ac:dyDescent="0.25">
      <c r="A56" t="str">
        <f>"1093881013"</f>
        <v>1093881013</v>
      </c>
      <c r="B56" t="str">
        <f>"02286042"</f>
        <v>02286042</v>
      </c>
      <c r="C56" t="s">
        <v>391</v>
      </c>
      <c r="D56" t="s">
        <v>392</v>
      </c>
      <c r="E56" t="s">
        <v>393</v>
      </c>
      <c r="G56" t="s">
        <v>394</v>
      </c>
      <c r="H56" t="s">
        <v>395</v>
      </c>
      <c r="J56" t="s">
        <v>396</v>
      </c>
      <c r="L56" t="s">
        <v>106</v>
      </c>
      <c r="M56" t="s">
        <v>107</v>
      </c>
      <c r="R56" t="s">
        <v>391</v>
      </c>
      <c r="W56" t="s">
        <v>397</v>
      </c>
      <c r="X56" t="s">
        <v>398</v>
      </c>
      <c r="Y56" t="s">
        <v>399</v>
      </c>
      <c r="Z56" t="s">
        <v>110</v>
      </c>
      <c r="AA56" t="str">
        <f>"11040-1436"</f>
        <v>11040-1436</v>
      </c>
      <c r="AB56" t="s">
        <v>172</v>
      </c>
      <c r="AC56" t="s">
        <v>112</v>
      </c>
      <c r="AD56" t="s">
        <v>107</v>
      </c>
      <c r="AE56" t="s">
        <v>113</v>
      </c>
      <c r="AG56" t="s">
        <v>114</v>
      </c>
    </row>
    <row r="57" spans="1:35" x14ac:dyDescent="0.25">
      <c r="A57" t="str">
        <f>"1396732921"</f>
        <v>1396732921</v>
      </c>
      <c r="B57" t="str">
        <f>"00308934"</f>
        <v>00308934</v>
      </c>
      <c r="C57" t="s">
        <v>400</v>
      </c>
      <c r="D57" t="s">
        <v>401</v>
      </c>
      <c r="E57" t="s">
        <v>400</v>
      </c>
      <c r="G57" t="s">
        <v>402</v>
      </c>
      <c r="H57" t="s">
        <v>403</v>
      </c>
      <c r="J57" t="s">
        <v>404</v>
      </c>
      <c r="L57" t="s">
        <v>405</v>
      </c>
      <c r="M57" t="s">
        <v>167</v>
      </c>
      <c r="R57" t="s">
        <v>406</v>
      </c>
      <c r="W57" t="s">
        <v>400</v>
      </c>
      <c r="X57" t="s">
        <v>407</v>
      </c>
      <c r="Y57" t="s">
        <v>207</v>
      </c>
      <c r="Z57" t="s">
        <v>110</v>
      </c>
      <c r="AA57" t="str">
        <f>"11375-4844"</f>
        <v>11375-4844</v>
      </c>
      <c r="AB57" t="s">
        <v>408</v>
      </c>
      <c r="AC57" t="s">
        <v>112</v>
      </c>
      <c r="AD57" t="s">
        <v>107</v>
      </c>
      <c r="AE57" t="s">
        <v>113</v>
      </c>
      <c r="AG57" t="s">
        <v>114</v>
      </c>
    </row>
    <row r="58" spans="1:35" x14ac:dyDescent="0.25">
      <c r="A58" t="str">
        <f>"1679644264"</f>
        <v>1679644264</v>
      </c>
      <c r="B58" t="str">
        <f>"00842911"</f>
        <v>00842911</v>
      </c>
      <c r="C58" t="s">
        <v>409</v>
      </c>
      <c r="D58" t="s">
        <v>410</v>
      </c>
      <c r="E58" t="s">
        <v>411</v>
      </c>
      <c r="G58" t="s">
        <v>412</v>
      </c>
      <c r="H58" t="s">
        <v>413</v>
      </c>
      <c r="J58" t="s">
        <v>414</v>
      </c>
      <c r="L58" t="s">
        <v>315</v>
      </c>
      <c r="M58" t="s">
        <v>167</v>
      </c>
      <c r="R58" t="s">
        <v>409</v>
      </c>
      <c r="W58" t="s">
        <v>411</v>
      </c>
      <c r="X58" t="s">
        <v>415</v>
      </c>
      <c r="Y58" t="s">
        <v>240</v>
      </c>
      <c r="Z58" t="s">
        <v>110</v>
      </c>
      <c r="AA58" t="str">
        <f>"11201-1093"</f>
        <v>11201-1093</v>
      </c>
      <c r="AB58" t="s">
        <v>172</v>
      </c>
      <c r="AC58" t="s">
        <v>112</v>
      </c>
      <c r="AD58" t="s">
        <v>107</v>
      </c>
      <c r="AE58" t="s">
        <v>113</v>
      </c>
      <c r="AG58" t="s">
        <v>114</v>
      </c>
    </row>
    <row r="59" spans="1:35" x14ac:dyDescent="0.25">
      <c r="A59" t="str">
        <f>"1225198138"</f>
        <v>1225198138</v>
      </c>
      <c r="B59" t="str">
        <f>"00762001"</f>
        <v>00762001</v>
      </c>
      <c r="C59" t="s">
        <v>416</v>
      </c>
      <c r="D59" t="s">
        <v>417</v>
      </c>
      <c r="E59" t="s">
        <v>418</v>
      </c>
      <c r="G59" t="s">
        <v>203</v>
      </c>
      <c r="H59" t="s">
        <v>204</v>
      </c>
      <c r="J59" t="s">
        <v>205</v>
      </c>
      <c r="L59" t="s">
        <v>106</v>
      </c>
      <c r="M59" t="s">
        <v>107</v>
      </c>
      <c r="R59" t="s">
        <v>416</v>
      </c>
      <c r="W59" t="s">
        <v>418</v>
      </c>
      <c r="X59" t="s">
        <v>419</v>
      </c>
      <c r="Y59" t="s">
        <v>240</v>
      </c>
      <c r="Z59" t="s">
        <v>110</v>
      </c>
      <c r="AA59" t="str">
        <f>"11229-1100"</f>
        <v>11229-1100</v>
      </c>
      <c r="AB59" t="s">
        <v>172</v>
      </c>
      <c r="AC59" t="s">
        <v>112</v>
      </c>
      <c r="AD59" t="s">
        <v>107</v>
      </c>
      <c r="AE59" t="s">
        <v>113</v>
      </c>
      <c r="AG59" t="s">
        <v>114</v>
      </c>
    </row>
    <row r="60" spans="1:35" x14ac:dyDescent="0.25">
      <c r="A60" t="str">
        <f>"1497877047"</f>
        <v>1497877047</v>
      </c>
      <c r="C60" t="s">
        <v>420</v>
      </c>
      <c r="G60" t="s">
        <v>273</v>
      </c>
      <c r="H60" t="s">
        <v>274</v>
      </c>
      <c r="J60" t="s">
        <v>275</v>
      </c>
      <c r="K60" t="s">
        <v>276</v>
      </c>
      <c r="L60" t="s">
        <v>106</v>
      </c>
      <c r="M60" t="s">
        <v>107</v>
      </c>
      <c r="R60" t="s">
        <v>420</v>
      </c>
      <c r="S60" t="s">
        <v>421</v>
      </c>
      <c r="T60" t="s">
        <v>422</v>
      </c>
      <c r="U60" t="s">
        <v>110</v>
      </c>
      <c r="V60" t="str">
        <f>"114321118"</f>
        <v>114321118</v>
      </c>
      <c r="AC60" t="s">
        <v>112</v>
      </c>
      <c r="AD60" t="s">
        <v>107</v>
      </c>
      <c r="AE60" t="s">
        <v>278</v>
      </c>
      <c r="AG60" t="s">
        <v>114</v>
      </c>
    </row>
    <row r="61" spans="1:35" x14ac:dyDescent="0.25">
      <c r="A61" t="str">
        <f>"1003911033"</f>
        <v>1003911033</v>
      </c>
      <c r="B61" t="str">
        <f>"01987957"</f>
        <v>01987957</v>
      </c>
      <c r="C61" t="s">
        <v>423</v>
      </c>
      <c r="D61" t="s">
        <v>424</v>
      </c>
      <c r="E61" t="s">
        <v>425</v>
      </c>
      <c r="G61" t="s">
        <v>195</v>
      </c>
      <c r="H61" t="s">
        <v>196</v>
      </c>
      <c r="J61" t="s">
        <v>197</v>
      </c>
      <c r="L61" t="s">
        <v>166</v>
      </c>
      <c r="M61" t="s">
        <v>107</v>
      </c>
      <c r="R61" t="s">
        <v>423</v>
      </c>
      <c r="W61" t="s">
        <v>425</v>
      </c>
      <c r="X61" t="s">
        <v>426</v>
      </c>
      <c r="Y61" t="s">
        <v>109</v>
      </c>
      <c r="Z61" t="s">
        <v>110</v>
      </c>
      <c r="AA61" t="str">
        <f>"11374-4254"</f>
        <v>11374-4254</v>
      </c>
      <c r="AB61" t="s">
        <v>172</v>
      </c>
      <c r="AC61" t="s">
        <v>112</v>
      </c>
      <c r="AD61" t="s">
        <v>107</v>
      </c>
      <c r="AE61" t="s">
        <v>113</v>
      </c>
      <c r="AG61" t="s">
        <v>114</v>
      </c>
    </row>
    <row r="62" spans="1:35" x14ac:dyDescent="0.25">
      <c r="A62" t="str">
        <f>"1699905000"</f>
        <v>1699905000</v>
      </c>
      <c r="B62" t="str">
        <f>"03159437"</f>
        <v>03159437</v>
      </c>
      <c r="C62" t="s">
        <v>427</v>
      </c>
      <c r="D62" t="s">
        <v>428</v>
      </c>
      <c r="E62" t="s">
        <v>427</v>
      </c>
      <c r="G62" t="s">
        <v>195</v>
      </c>
      <c r="H62" t="s">
        <v>196</v>
      </c>
      <c r="J62" t="s">
        <v>197</v>
      </c>
      <c r="L62" t="s">
        <v>106</v>
      </c>
      <c r="M62" t="s">
        <v>167</v>
      </c>
      <c r="R62" t="s">
        <v>427</v>
      </c>
      <c r="W62" t="s">
        <v>429</v>
      </c>
      <c r="X62" t="s">
        <v>311</v>
      </c>
      <c r="Y62" t="s">
        <v>225</v>
      </c>
      <c r="Z62" t="s">
        <v>110</v>
      </c>
      <c r="AA62" t="str">
        <f>"11355-5045"</f>
        <v>11355-5045</v>
      </c>
      <c r="AB62" t="s">
        <v>172</v>
      </c>
      <c r="AC62" t="s">
        <v>112</v>
      </c>
      <c r="AD62" t="s">
        <v>107</v>
      </c>
      <c r="AE62" t="s">
        <v>113</v>
      </c>
      <c r="AG62" t="s">
        <v>114</v>
      </c>
    </row>
    <row r="63" spans="1:35" x14ac:dyDescent="0.25">
      <c r="A63" t="str">
        <f>"1912907825"</f>
        <v>1912907825</v>
      </c>
      <c r="B63" t="str">
        <f>"02059061"</f>
        <v>02059061</v>
      </c>
      <c r="C63" t="s">
        <v>430</v>
      </c>
      <c r="D63" t="s">
        <v>431</v>
      </c>
      <c r="E63" t="s">
        <v>432</v>
      </c>
      <c r="G63" t="s">
        <v>394</v>
      </c>
      <c r="H63" t="s">
        <v>395</v>
      </c>
      <c r="J63" t="s">
        <v>396</v>
      </c>
      <c r="L63" t="s">
        <v>106</v>
      </c>
      <c r="M63" t="s">
        <v>107</v>
      </c>
      <c r="R63" t="s">
        <v>430</v>
      </c>
      <c r="W63" t="s">
        <v>432</v>
      </c>
      <c r="X63" t="s">
        <v>433</v>
      </c>
      <c r="Y63" t="s">
        <v>356</v>
      </c>
      <c r="Z63" t="s">
        <v>110</v>
      </c>
      <c r="AA63" t="str">
        <f>"10701-4004"</f>
        <v>10701-4004</v>
      </c>
      <c r="AB63" t="s">
        <v>172</v>
      </c>
      <c r="AC63" t="s">
        <v>112</v>
      </c>
      <c r="AD63" t="s">
        <v>107</v>
      </c>
      <c r="AE63" t="s">
        <v>113</v>
      </c>
      <c r="AG63" t="s">
        <v>114</v>
      </c>
    </row>
    <row r="64" spans="1:35" x14ac:dyDescent="0.25">
      <c r="A64" t="str">
        <f>"1972577864"</f>
        <v>1972577864</v>
      </c>
      <c r="B64" t="str">
        <f>"01511059"</f>
        <v>01511059</v>
      </c>
      <c r="C64" t="s">
        <v>434</v>
      </c>
      <c r="D64" t="s">
        <v>435</v>
      </c>
      <c r="E64" t="s">
        <v>436</v>
      </c>
      <c r="G64" t="s">
        <v>203</v>
      </c>
      <c r="H64" t="s">
        <v>204</v>
      </c>
      <c r="J64" t="s">
        <v>205</v>
      </c>
      <c r="L64" t="s">
        <v>166</v>
      </c>
      <c r="M64" t="s">
        <v>107</v>
      </c>
      <c r="R64" t="s">
        <v>434</v>
      </c>
      <c r="W64" t="s">
        <v>434</v>
      </c>
      <c r="X64" t="s">
        <v>437</v>
      </c>
      <c r="Y64" t="s">
        <v>325</v>
      </c>
      <c r="Z64" t="s">
        <v>110</v>
      </c>
      <c r="AA64" t="str">
        <f>"10021-4823"</f>
        <v>10021-4823</v>
      </c>
      <c r="AB64" t="s">
        <v>172</v>
      </c>
      <c r="AC64" t="s">
        <v>112</v>
      </c>
      <c r="AD64" t="s">
        <v>107</v>
      </c>
      <c r="AE64" t="s">
        <v>113</v>
      </c>
      <c r="AG64" t="s">
        <v>114</v>
      </c>
    </row>
    <row r="65" spans="1:33" x14ac:dyDescent="0.25">
      <c r="A65" t="str">
        <f>"1598921728"</f>
        <v>1598921728</v>
      </c>
      <c r="B65" t="str">
        <f>"03189526"</f>
        <v>03189526</v>
      </c>
      <c r="C65" t="s">
        <v>438</v>
      </c>
      <c r="D65" t="s">
        <v>439</v>
      </c>
      <c r="E65" t="s">
        <v>440</v>
      </c>
      <c r="G65" t="s">
        <v>212</v>
      </c>
      <c r="H65" t="s">
        <v>213</v>
      </c>
      <c r="J65" t="s">
        <v>214</v>
      </c>
      <c r="L65" t="s">
        <v>215</v>
      </c>
      <c r="M65" t="s">
        <v>167</v>
      </c>
      <c r="R65" t="s">
        <v>438</v>
      </c>
      <c r="W65" t="s">
        <v>440</v>
      </c>
      <c r="X65" t="s">
        <v>441</v>
      </c>
      <c r="Y65" t="s">
        <v>422</v>
      </c>
      <c r="Z65" t="s">
        <v>110</v>
      </c>
      <c r="AA65" t="str">
        <f>"11435-4721"</f>
        <v>11435-4721</v>
      </c>
      <c r="AB65" t="s">
        <v>326</v>
      </c>
      <c r="AC65" t="s">
        <v>112</v>
      </c>
      <c r="AD65" t="s">
        <v>107</v>
      </c>
      <c r="AE65" t="s">
        <v>113</v>
      </c>
      <c r="AG65" t="s">
        <v>114</v>
      </c>
    </row>
    <row r="66" spans="1:33" x14ac:dyDescent="0.25">
      <c r="A66" t="str">
        <f>"1376717405"</f>
        <v>1376717405</v>
      </c>
      <c r="B66" t="str">
        <f>"03257370"</f>
        <v>03257370</v>
      </c>
      <c r="C66" t="s">
        <v>442</v>
      </c>
      <c r="D66" t="s">
        <v>443</v>
      </c>
      <c r="E66" t="s">
        <v>444</v>
      </c>
      <c r="G66" t="s">
        <v>195</v>
      </c>
      <c r="H66" t="s">
        <v>196</v>
      </c>
      <c r="J66" t="s">
        <v>197</v>
      </c>
      <c r="L66" t="s">
        <v>215</v>
      </c>
      <c r="M66" t="s">
        <v>167</v>
      </c>
      <c r="R66" t="s">
        <v>442</v>
      </c>
      <c r="W66" t="s">
        <v>445</v>
      </c>
      <c r="X66" t="s">
        <v>311</v>
      </c>
      <c r="Y66" t="s">
        <v>225</v>
      </c>
      <c r="Z66" t="s">
        <v>110</v>
      </c>
      <c r="AA66" t="str">
        <f>"11355-5045"</f>
        <v>11355-5045</v>
      </c>
      <c r="AB66" t="s">
        <v>172</v>
      </c>
      <c r="AC66" t="s">
        <v>112</v>
      </c>
      <c r="AD66" t="s">
        <v>107</v>
      </c>
      <c r="AE66" t="s">
        <v>113</v>
      </c>
      <c r="AG66" t="s">
        <v>114</v>
      </c>
    </row>
    <row r="67" spans="1:33" x14ac:dyDescent="0.25">
      <c r="A67" t="str">
        <f>"1629303672"</f>
        <v>1629303672</v>
      </c>
      <c r="B67" t="str">
        <f>"03518650"</f>
        <v>03518650</v>
      </c>
      <c r="C67" t="s">
        <v>446</v>
      </c>
      <c r="D67" t="s">
        <v>447</v>
      </c>
      <c r="E67" t="s">
        <v>448</v>
      </c>
      <c r="G67" t="s">
        <v>212</v>
      </c>
      <c r="H67" t="s">
        <v>213</v>
      </c>
      <c r="J67" t="s">
        <v>214</v>
      </c>
      <c r="L67" t="s">
        <v>166</v>
      </c>
      <c r="M67" t="s">
        <v>167</v>
      </c>
      <c r="R67" t="s">
        <v>446</v>
      </c>
      <c r="W67" t="s">
        <v>449</v>
      </c>
      <c r="X67" t="s">
        <v>450</v>
      </c>
      <c r="Y67" t="s">
        <v>325</v>
      </c>
      <c r="Z67" t="s">
        <v>110</v>
      </c>
      <c r="AA67" t="str">
        <f>"10002-2301"</f>
        <v>10002-2301</v>
      </c>
      <c r="AB67" t="s">
        <v>172</v>
      </c>
      <c r="AC67" t="s">
        <v>112</v>
      </c>
      <c r="AD67" t="s">
        <v>107</v>
      </c>
      <c r="AE67" t="s">
        <v>113</v>
      </c>
      <c r="AG67" t="s">
        <v>114</v>
      </c>
    </row>
    <row r="68" spans="1:33" x14ac:dyDescent="0.25">
      <c r="A68" t="str">
        <f>"1629235999"</f>
        <v>1629235999</v>
      </c>
      <c r="B68" t="str">
        <f>"03470775"</f>
        <v>03470775</v>
      </c>
      <c r="C68" t="s">
        <v>451</v>
      </c>
      <c r="D68" t="s">
        <v>452</v>
      </c>
      <c r="E68" t="s">
        <v>451</v>
      </c>
      <c r="G68" t="s">
        <v>273</v>
      </c>
      <c r="H68" t="s">
        <v>274</v>
      </c>
      <c r="J68" t="s">
        <v>275</v>
      </c>
      <c r="L68" t="s">
        <v>117</v>
      </c>
      <c r="M68" t="s">
        <v>107</v>
      </c>
      <c r="R68" t="s">
        <v>451</v>
      </c>
      <c r="W68" t="s">
        <v>451</v>
      </c>
      <c r="X68" t="s">
        <v>453</v>
      </c>
      <c r="Y68" t="s">
        <v>109</v>
      </c>
      <c r="Z68" t="s">
        <v>110</v>
      </c>
      <c r="AA68" t="str">
        <f>"11374-4357"</f>
        <v>11374-4357</v>
      </c>
      <c r="AB68" t="s">
        <v>111</v>
      </c>
      <c r="AC68" t="s">
        <v>112</v>
      </c>
      <c r="AD68" t="s">
        <v>107</v>
      </c>
      <c r="AE68" t="s">
        <v>113</v>
      </c>
      <c r="AG68" t="s">
        <v>114</v>
      </c>
    </row>
    <row r="69" spans="1:33" x14ac:dyDescent="0.25">
      <c r="A69" t="str">
        <f>"1124037999"</f>
        <v>1124037999</v>
      </c>
      <c r="B69" t="str">
        <f>"02766769"</f>
        <v>02766769</v>
      </c>
      <c r="C69" t="s">
        <v>454</v>
      </c>
      <c r="D69" t="s">
        <v>455</v>
      </c>
      <c r="E69" t="s">
        <v>456</v>
      </c>
      <c r="G69" t="s">
        <v>176</v>
      </c>
      <c r="H69" t="s">
        <v>177</v>
      </c>
      <c r="I69">
        <v>3264</v>
      </c>
      <c r="J69" t="s">
        <v>178</v>
      </c>
      <c r="L69" t="s">
        <v>117</v>
      </c>
      <c r="M69" t="s">
        <v>107</v>
      </c>
      <c r="R69" t="s">
        <v>454</v>
      </c>
      <c r="W69" t="s">
        <v>456</v>
      </c>
      <c r="X69" t="s">
        <v>457</v>
      </c>
      <c r="Y69" t="s">
        <v>183</v>
      </c>
      <c r="Z69" t="s">
        <v>110</v>
      </c>
      <c r="AA69" t="str">
        <f>"10452-2001"</f>
        <v>10452-2001</v>
      </c>
      <c r="AB69" t="s">
        <v>111</v>
      </c>
      <c r="AC69" t="s">
        <v>112</v>
      </c>
      <c r="AD69" t="s">
        <v>107</v>
      </c>
      <c r="AE69" t="s">
        <v>113</v>
      </c>
      <c r="AG69" t="s">
        <v>114</v>
      </c>
    </row>
    <row r="70" spans="1:33" x14ac:dyDescent="0.25">
      <c r="A70" t="str">
        <f>"1225000581"</f>
        <v>1225000581</v>
      </c>
      <c r="B70" t="str">
        <f>"01984087"</f>
        <v>01984087</v>
      </c>
      <c r="C70" t="s">
        <v>458</v>
      </c>
      <c r="D70" t="s">
        <v>459</v>
      </c>
      <c r="E70" t="s">
        <v>460</v>
      </c>
      <c r="G70" t="s">
        <v>203</v>
      </c>
      <c r="H70" t="s">
        <v>204</v>
      </c>
      <c r="J70" t="s">
        <v>205</v>
      </c>
      <c r="L70" t="s">
        <v>215</v>
      </c>
      <c r="M70" t="s">
        <v>107</v>
      </c>
      <c r="R70" t="s">
        <v>458</v>
      </c>
      <c r="W70" t="s">
        <v>460</v>
      </c>
      <c r="X70" t="s">
        <v>461</v>
      </c>
      <c r="Y70" t="s">
        <v>325</v>
      </c>
      <c r="Z70" t="s">
        <v>110</v>
      </c>
      <c r="AA70" t="str">
        <f>"10023-2944"</f>
        <v>10023-2944</v>
      </c>
      <c r="AB70" t="s">
        <v>462</v>
      </c>
      <c r="AC70" t="s">
        <v>112</v>
      </c>
      <c r="AD70" t="s">
        <v>107</v>
      </c>
      <c r="AE70" t="s">
        <v>113</v>
      </c>
      <c r="AG70" t="s">
        <v>114</v>
      </c>
    </row>
    <row r="71" spans="1:33" x14ac:dyDescent="0.25">
      <c r="A71" t="str">
        <f>"1558353763"</f>
        <v>1558353763</v>
      </c>
      <c r="B71" t="str">
        <f>"03248304"</f>
        <v>03248304</v>
      </c>
      <c r="C71" t="s">
        <v>463</v>
      </c>
      <c r="D71" t="s">
        <v>464</v>
      </c>
      <c r="E71" t="s">
        <v>463</v>
      </c>
      <c r="G71" t="s">
        <v>465</v>
      </c>
      <c r="H71" t="s">
        <v>466</v>
      </c>
      <c r="J71" t="s">
        <v>467</v>
      </c>
      <c r="L71" t="s">
        <v>215</v>
      </c>
      <c r="M71" t="s">
        <v>107</v>
      </c>
      <c r="R71" t="s">
        <v>463</v>
      </c>
      <c r="W71" t="s">
        <v>463</v>
      </c>
      <c r="X71" t="s">
        <v>311</v>
      </c>
      <c r="Y71" t="s">
        <v>225</v>
      </c>
      <c r="Z71" t="s">
        <v>110</v>
      </c>
      <c r="AA71" t="str">
        <f>"11355-5045"</f>
        <v>11355-5045</v>
      </c>
      <c r="AB71" t="s">
        <v>172</v>
      </c>
      <c r="AC71" t="s">
        <v>112</v>
      </c>
      <c r="AD71" t="s">
        <v>107</v>
      </c>
      <c r="AE71" t="s">
        <v>113</v>
      </c>
      <c r="AG71" t="s">
        <v>114</v>
      </c>
    </row>
    <row r="72" spans="1:33" x14ac:dyDescent="0.25">
      <c r="A72" t="str">
        <f>"1902997943"</f>
        <v>1902997943</v>
      </c>
      <c r="B72" t="str">
        <f>"02803336"</f>
        <v>02803336</v>
      </c>
      <c r="C72" t="s">
        <v>468</v>
      </c>
      <c r="D72" t="s">
        <v>469</v>
      </c>
      <c r="E72" t="s">
        <v>470</v>
      </c>
      <c r="G72" t="s">
        <v>212</v>
      </c>
      <c r="H72" t="s">
        <v>213</v>
      </c>
      <c r="J72" t="s">
        <v>214</v>
      </c>
      <c r="L72" t="s">
        <v>166</v>
      </c>
      <c r="M72" t="s">
        <v>167</v>
      </c>
      <c r="R72" t="s">
        <v>468</v>
      </c>
      <c r="W72" t="s">
        <v>470</v>
      </c>
      <c r="X72" t="s">
        <v>471</v>
      </c>
      <c r="Y72" t="s">
        <v>472</v>
      </c>
      <c r="Z72" t="s">
        <v>110</v>
      </c>
      <c r="AA72" t="str">
        <f>"12603-2808"</f>
        <v>12603-2808</v>
      </c>
      <c r="AB72" t="s">
        <v>172</v>
      </c>
      <c r="AC72" t="s">
        <v>112</v>
      </c>
      <c r="AD72" t="s">
        <v>107</v>
      </c>
      <c r="AE72" t="s">
        <v>113</v>
      </c>
      <c r="AG72" t="s">
        <v>114</v>
      </c>
    </row>
    <row r="73" spans="1:33" x14ac:dyDescent="0.25">
      <c r="A73" t="str">
        <f>"1528217916"</f>
        <v>1528217916</v>
      </c>
      <c r="B73" t="str">
        <f>"03469192"</f>
        <v>03469192</v>
      </c>
      <c r="C73" t="s">
        <v>473</v>
      </c>
      <c r="D73" t="s">
        <v>474</v>
      </c>
      <c r="E73" t="s">
        <v>475</v>
      </c>
      <c r="G73" t="s">
        <v>308</v>
      </c>
      <c r="H73" t="s">
        <v>309</v>
      </c>
      <c r="J73" t="s">
        <v>310</v>
      </c>
      <c r="L73" t="s">
        <v>215</v>
      </c>
      <c r="M73" t="s">
        <v>107</v>
      </c>
      <c r="R73" t="s">
        <v>473</v>
      </c>
      <c r="W73" t="s">
        <v>475</v>
      </c>
      <c r="X73" t="s">
        <v>476</v>
      </c>
      <c r="Y73" t="s">
        <v>325</v>
      </c>
      <c r="Z73" t="s">
        <v>110</v>
      </c>
      <c r="AA73" t="str">
        <f>"10021-5663"</f>
        <v>10021-5663</v>
      </c>
      <c r="AB73" t="s">
        <v>172</v>
      </c>
      <c r="AC73" t="s">
        <v>112</v>
      </c>
      <c r="AD73" t="s">
        <v>107</v>
      </c>
      <c r="AE73" t="s">
        <v>113</v>
      </c>
      <c r="AG73" t="s">
        <v>114</v>
      </c>
    </row>
    <row r="74" spans="1:33" x14ac:dyDescent="0.25">
      <c r="A74" t="str">
        <f>"1578596607"</f>
        <v>1578596607</v>
      </c>
      <c r="B74" t="str">
        <f>"01205710"</f>
        <v>01205710</v>
      </c>
      <c r="C74" t="s">
        <v>477</v>
      </c>
      <c r="D74" t="s">
        <v>478</v>
      </c>
      <c r="E74" t="s">
        <v>479</v>
      </c>
      <c r="G74" t="s">
        <v>308</v>
      </c>
      <c r="H74" t="s">
        <v>309</v>
      </c>
      <c r="J74" t="s">
        <v>310</v>
      </c>
      <c r="L74" t="s">
        <v>215</v>
      </c>
      <c r="M74" t="s">
        <v>107</v>
      </c>
      <c r="R74" t="s">
        <v>477</v>
      </c>
      <c r="W74" t="s">
        <v>479</v>
      </c>
      <c r="X74" t="s">
        <v>480</v>
      </c>
      <c r="Y74" t="s">
        <v>481</v>
      </c>
      <c r="Z74" t="s">
        <v>110</v>
      </c>
      <c r="AA74" t="str">
        <f>"11428-2154"</f>
        <v>11428-2154</v>
      </c>
      <c r="AB74" t="s">
        <v>172</v>
      </c>
      <c r="AC74" t="s">
        <v>112</v>
      </c>
      <c r="AD74" t="s">
        <v>107</v>
      </c>
      <c r="AE74" t="s">
        <v>113</v>
      </c>
      <c r="AG74" t="s">
        <v>114</v>
      </c>
    </row>
    <row r="75" spans="1:33" x14ac:dyDescent="0.25">
      <c r="A75" t="str">
        <f>"1518047745"</f>
        <v>1518047745</v>
      </c>
      <c r="B75" t="str">
        <f>"01867789"</f>
        <v>01867789</v>
      </c>
      <c r="C75" t="s">
        <v>482</v>
      </c>
      <c r="D75" t="s">
        <v>483</v>
      </c>
      <c r="E75" t="s">
        <v>484</v>
      </c>
      <c r="G75" t="s">
        <v>221</v>
      </c>
      <c r="H75" t="s">
        <v>222</v>
      </c>
      <c r="I75">
        <v>203</v>
      </c>
      <c r="J75" t="s">
        <v>223</v>
      </c>
      <c r="L75" t="s">
        <v>166</v>
      </c>
      <c r="M75" t="s">
        <v>107</v>
      </c>
      <c r="R75" t="s">
        <v>482</v>
      </c>
      <c r="W75" t="s">
        <v>484</v>
      </c>
      <c r="X75" t="s">
        <v>485</v>
      </c>
      <c r="Y75" t="s">
        <v>486</v>
      </c>
      <c r="Z75" t="s">
        <v>110</v>
      </c>
      <c r="AA75" t="str">
        <f>"11364-1637"</f>
        <v>11364-1637</v>
      </c>
      <c r="AB75" t="s">
        <v>172</v>
      </c>
      <c r="AC75" t="s">
        <v>112</v>
      </c>
      <c r="AD75" t="s">
        <v>107</v>
      </c>
      <c r="AE75" t="s">
        <v>113</v>
      </c>
      <c r="AG75" t="s">
        <v>114</v>
      </c>
    </row>
    <row r="76" spans="1:33" x14ac:dyDescent="0.25">
      <c r="A76" t="str">
        <f>"1407193295"</f>
        <v>1407193295</v>
      </c>
      <c r="B76" t="str">
        <f>"03643501"</f>
        <v>03643501</v>
      </c>
      <c r="C76" t="s">
        <v>487</v>
      </c>
      <c r="D76" t="s">
        <v>488</v>
      </c>
      <c r="E76" t="s">
        <v>489</v>
      </c>
      <c r="G76" t="s">
        <v>221</v>
      </c>
      <c r="H76" t="s">
        <v>222</v>
      </c>
      <c r="I76">
        <v>203</v>
      </c>
      <c r="J76" t="s">
        <v>223</v>
      </c>
      <c r="L76" t="s">
        <v>215</v>
      </c>
      <c r="M76" t="s">
        <v>107</v>
      </c>
      <c r="R76" t="s">
        <v>487</v>
      </c>
      <c r="W76" t="s">
        <v>489</v>
      </c>
      <c r="X76" t="s">
        <v>490</v>
      </c>
      <c r="Y76" t="s">
        <v>240</v>
      </c>
      <c r="Z76" t="s">
        <v>110</v>
      </c>
      <c r="AA76" t="str">
        <f>"11211-7308"</f>
        <v>11211-7308</v>
      </c>
      <c r="AB76" t="s">
        <v>172</v>
      </c>
      <c r="AC76" t="s">
        <v>112</v>
      </c>
      <c r="AD76" t="s">
        <v>107</v>
      </c>
      <c r="AE76" t="s">
        <v>113</v>
      </c>
      <c r="AG76" t="s">
        <v>114</v>
      </c>
    </row>
    <row r="77" spans="1:33" x14ac:dyDescent="0.25">
      <c r="A77" t="str">
        <f>"1033105267"</f>
        <v>1033105267</v>
      </c>
      <c r="B77" t="str">
        <f>"00400757"</f>
        <v>00400757</v>
      </c>
      <c r="C77" t="s">
        <v>491</v>
      </c>
      <c r="D77" t="s">
        <v>492</v>
      </c>
      <c r="E77" t="s">
        <v>493</v>
      </c>
      <c r="G77" t="s">
        <v>221</v>
      </c>
      <c r="H77" t="s">
        <v>222</v>
      </c>
      <c r="I77">
        <v>203</v>
      </c>
      <c r="J77" t="s">
        <v>223</v>
      </c>
      <c r="L77" t="s">
        <v>215</v>
      </c>
      <c r="M77" t="s">
        <v>107</v>
      </c>
      <c r="R77" t="s">
        <v>491</v>
      </c>
      <c r="W77" t="s">
        <v>493</v>
      </c>
      <c r="X77" t="s">
        <v>494</v>
      </c>
      <c r="Y77" t="s">
        <v>225</v>
      </c>
      <c r="Z77" t="s">
        <v>110</v>
      </c>
      <c r="AA77" t="str">
        <f>"11354-5761"</f>
        <v>11354-5761</v>
      </c>
      <c r="AB77" t="s">
        <v>172</v>
      </c>
      <c r="AC77" t="s">
        <v>112</v>
      </c>
      <c r="AD77" t="s">
        <v>107</v>
      </c>
      <c r="AE77" t="s">
        <v>113</v>
      </c>
      <c r="AG77" t="s">
        <v>114</v>
      </c>
    </row>
    <row r="78" spans="1:33" x14ac:dyDescent="0.25">
      <c r="A78" t="str">
        <f>"1841231057"</f>
        <v>1841231057</v>
      </c>
      <c r="B78" t="str">
        <f>"01867683"</f>
        <v>01867683</v>
      </c>
      <c r="C78" t="s">
        <v>495</v>
      </c>
      <c r="D78" t="s">
        <v>496</v>
      </c>
      <c r="E78" t="s">
        <v>497</v>
      </c>
      <c r="G78" t="s">
        <v>221</v>
      </c>
      <c r="H78" t="s">
        <v>222</v>
      </c>
      <c r="I78">
        <v>203</v>
      </c>
      <c r="J78" t="s">
        <v>223</v>
      </c>
      <c r="L78" t="s">
        <v>166</v>
      </c>
      <c r="M78" t="s">
        <v>167</v>
      </c>
      <c r="R78" t="s">
        <v>495</v>
      </c>
      <c r="W78" t="s">
        <v>497</v>
      </c>
      <c r="X78" t="s">
        <v>498</v>
      </c>
      <c r="Y78" t="s">
        <v>325</v>
      </c>
      <c r="Z78" t="s">
        <v>110</v>
      </c>
      <c r="AA78" t="str">
        <f>"10011-8305"</f>
        <v>10011-8305</v>
      </c>
      <c r="AB78" t="s">
        <v>172</v>
      </c>
      <c r="AC78" t="s">
        <v>112</v>
      </c>
      <c r="AD78" t="s">
        <v>107</v>
      </c>
      <c r="AE78" t="s">
        <v>113</v>
      </c>
      <c r="AG78" t="s">
        <v>114</v>
      </c>
    </row>
    <row r="79" spans="1:33" x14ac:dyDescent="0.25">
      <c r="A79" t="str">
        <f>"1821250036"</f>
        <v>1821250036</v>
      </c>
      <c r="B79" t="str">
        <f>"03224802"</f>
        <v>03224802</v>
      </c>
      <c r="C79" t="s">
        <v>499</v>
      </c>
      <c r="D79" t="s">
        <v>500</v>
      </c>
      <c r="E79" t="s">
        <v>501</v>
      </c>
      <c r="G79" t="s">
        <v>221</v>
      </c>
      <c r="H79" t="s">
        <v>222</v>
      </c>
      <c r="I79">
        <v>203</v>
      </c>
      <c r="J79" t="s">
        <v>223</v>
      </c>
      <c r="L79" t="s">
        <v>166</v>
      </c>
      <c r="M79" t="s">
        <v>167</v>
      </c>
      <c r="R79" t="s">
        <v>499</v>
      </c>
      <c r="W79" t="s">
        <v>501</v>
      </c>
      <c r="X79" t="s">
        <v>502</v>
      </c>
      <c r="Y79" t="s">
        <v>225</v>
      </c>
      <c r="Z79" t="s">
        <v>110</v>
      </c>
      <c r="AA79" t="str">
        <f>"11355-5045"</f>
        <v>11355-5045</v>
      </c>
      <c r="AB79" t="s">
        <v>172</v>
      </c>
      <c r="AC79" t="s">
        <v>112</v>
      </c>
      <c r="AD79" t="s">
        <v>107</v>
      </c>
      <c r="AE79" t="s">
        <v>113</v>
      </c>
      <c r="AG79" t="s">
        <v>114</v>
      </c>
    </row>
    <row r="80" spans="1:33" x14ac:dyDescent="0.25">
      <c r="A80" t="str">
        <f>"1265512446"</f>
        <v>1265512446</v>
      </c>
      <c r="B80" t="str">
        <f>"01134707"</f>
        <v>01134707</v>
      </c>
      <c r="C80" t="s">
        <v>503</v>
      </c>
      <c r="D80" t="s">
        <v>504</v>
      </c>
      <c r="E80" t="s">
        <v>505</v>
      </c>
      <c r="G80" t="s">
        <v>221</v>
      </c>
      <c r="H80" t="s">
        <v>222</v>
      </c>
      <c r="I80">
        <v>203</v>
      </c>
      <c r="J80" t="s">
        <v>223</v>
      </c>
      <c r="L80" t="s">
        <v>166</v>
      </c>
      <c r="M80" t="s">
        <v>107</v>
      </c>
      <c r="R80" t="s">
        <v>503</v>
      </c>
      <c r="W80" t="s">
        <v>503</v>
      </c>
      <c r="X80" t="s">
        <v>506</v>
      </c>
      <c r="Y80" t="s">
        <v>225</v>
      </c>
      <c r="Z80" t="s">
        <v>110</v>
      </c>
      <c r="AA80" t="str">
        <f>"11355-2205"</f>
        <v>11355-2205</v>
      </c>
      <c r="AB80" t="s">
        <v>172</v>
      </c>
      <c r="AC80" t="s">
        <v>112</v>
      </c>
      <c r="AD80" t="s">
        <v>107</v>
      </c>
      <c r="AE80" t="s">
        <v>113</v>
      </c>
      <c r="AG80" t="s">
        <v>114</v>
      </c>
    </row>
    <row r="81" spans="1:33" x14ac:dyDescent="0.25">
      <c r="A81" t="str">
        <f>"1194811521"</f>
        <v>1194811521</v>
      </c>
      <c r="B81" t="str">
        <f>"01771104"</f>
        <v>01771104</v>
      </c>
      <c r="C81" t="s">
        <v>507</v>
      </c>
      <c r="D81" t="s">
        <v>508</v>
      </c>
      <c r="E81" t="s">
        <v>509</v>
      </c>
      <c r="G81" t="s">
        <v>402</v>
      </c>
      <c r="H81" t="s">
        <v>403</v>
      </c>
      <c r="J81" t="s">
        <v>404</v>
      </c>
      <c r="L81" t="s">
        <v>166</v>
      </c>
      <c r="M81" t="s">
        <v>167</v>
      </c>
      <c r="R81" t="s">
        <v>507</v>
      </c>
      <c r="W81" t="s">
        <v>510</v>
      </c>
      <c r="X81" t="s">
        <v>490</v>
      </c>
      <c r="Y81" t="s">
        <v>240</v>
      </c>
      <c r="Z81" t="s">
        <v>110</v>
      </c>
      <c r="AA81" t="str">
        <f>"11211-7308"</f>
        <v>11211-7308</v>
      </c>
      <c r="AB81" t="s">
        <v>172</v>
      </c>
      <c r="AC81" t="s">
        <v>112</v>
      </c>
      <c r="AD81" t="s">
        <v>107</v>
      </c>
      <c r="AE81" t="s">
        <v>113</v>
      </c>
      <c r="AG81" t="s">
        <v>114</v>
      </c>
    </row>
    <row r="82" spans="1:33" x14ac:dyDescent="0.25">
      <c r="A82" t="str">
        <f>"1790858678"</f>
        <v>1790858678</v>
      </c>
      <c r="B82" t="str">
        <f>"01776907"</f>
        <v>01776907</v>
      </c>
      <c r="C82" t="s">
        <v>511</v>
      </c>
      <c r="D82" t="s">
        <v>512</v>
      </c>
      <c r="E82" t="s">
        <v>513</v>
      </c>
      <c r="G82" t="s">
        <v>176</v>
      </c>
      <c r="H82" t="s">
        <v>177</v>
      </c>
      <c r="I82">
        <v>3264</v>
      </c>
      <c r="J82" t="s">
        <v>178</v>
      </c>
      <c r="L82" t="s">
        <v>514</v>
      </c>
      <c r="M82" t="s">
        <v>167</v>
      </c>
      <c r="R82" t="s">
        <v>511</v>
      </c>
      <c r="W82" t="s">
        <v>513</v>
      </c>
      <c r="X82" t="s">
        <v>515</v>
      </c>
      <c r="Y82" t="s">
        <v>183</v>
      </c>
      <c r="Z82" t="s">
        <v>110</v>
      </c>
      <c r="AA82" t="str">
        <f>"10461-1138"</f>
        <v>10461-1138</v>
      </c>
      <c r="AB82" t="s">
        <v>172</v>
      </c>
      <c r="AC82" t="s">
        <v>112</v>
      </c>
      <c r="AD82" t="s">
        <v>107</v>
      </c>
      <c r="AE82" t="s">
        <v>113</v>
      </c>
      <c r="AG82" t="s">
        <v>114</v>
      </c>
    </row>
    <row r="83" spans="1:33" x14ac:dyDescent="0.25">
      <c r="A83" t="str">
        <f>"1740204833"</f>
        <v>1740204833</v>
      </c>
      <c r="B83" t="str">
        <f>"00977573"</f>
        <v>00977573</v>
      </c>
      <c r="C83" t="s">
        <v>516</v>
      </c>
      <c r="D83" t="s">
        <v>517</v>
      </c>
      <c r="E83" t="s">
        <v>518</v>
      </c>
      <c r="G83" t="s">
        <v>212</v>
      </c>
      <c r="H83" t="s">
        <v>213</v>
      </c>
      <c r="J83" t="s">
        <v>214</v>
      </c>
      <c r="L83" t="s">
        <v>166</v>
      </c>
      <c r="M83" t="s">
        <v>167</v>
      </c>
      <c r="R83" t="s">
        <v>516</v>
      </c>
      <c r="W83" t="s">
        <v>518</v>
      </c>
      <c r="X83" t="s">
        <v>519</v>
      </c>
      <c r="Y83" t="s">
        <v>325</v>
      </c>
      <c r="Z83" t="s">
        <v>110</v>
      </c>
      <c r="AA83" t="str">
        <f>"10011-6609"</f>
        <v>10011-6609</v>
      </c>
      <c r="AB83" t="s">
        <v>172</v>
      </c>
      <c r="AC83" t="s">
        <v>112</v>
      </c>
      <c r="AD83" t="s">
        <v>107</v>
      </c>
      <c r="AE83" t="s">
        <v>113</v>
      </c>
      <c r="AG83" t="s">
        <v>114</v>
      </c>
    </row>
    <row r="84" spans="1:33" x14ac:dyDescent="0.25">
      <c r="A84" t="str">
        <f>"1750349254"</f>
        <v>1750349254</v>
      </c>
      <c r="B84" t="str">
        <f>"02657454"</f>
        <v>02657454</v>
      </c>
      <c r="C84" t="s">
        <v>520</v>
      </c>
      <c r="D84" t="s">
        <v>521</v>
      </c>
      <c r="E84" t="s">
        <v>522</v>
      </c>
      <c r="G84" t="s">
        <v>378</v>
      </c>
      <c r="H84" t="s">
        <v>379</v>
      </c>
      <c r="I84">
        <v>203</v>
      </c>
      <c r="J84" t="s">
        <v>380</v>
      </c>
      <c r="L84" t="s">
        <v>166</v>
      </c>
      <c r="M84" t="s">
        <v>107</v>
      </c>
      <c r="R84" t="s">
        <v>520</v>
      </c>
      <c r="W84" t="s">
        <v>522</v>
      </c>
      <c r="X84" t="s">
        <v>506</v>
      </c>
      <c r="Y84" t="s">
        <v>225</v>
      </c>
      <c r="Z84" t="s">
        <v>110</v>
      </c>
      <c r="AA84" t="str">
        <f>"11355-2205"</f>
        <v>11355-2205</v>
      </c>
      <c r="AB84" t="s">
        <v>172</v>
      </c>
      <c r="AC84" t="s">
        <v>112</v>
      </c>
      <c r="AD84" t="s">
        <v>107</v>
      </c>
      <c r="AE84" t="s">
        <v>113</v>
      </c>
      <c r="AG84" t="s">
        <v>114</v>
      </c>
    </row>
    <row r="85" spans="1:33" x14ac:dyDescent="0.25">
      <c r="A85" t="str">
        <f>"1760545883"</f>
        <v>1760545883</v>
      </c>
      <c r="B85" t="str">
        <f>"02023229"</f>
        <v>02023229</v>
      </c>
      <c r="C85" t="s">
        <v>523</v>
      </c>
      <c r="D85" t="s">
        <v>524</v>
      </c>
      <c r="E85" t="s">
        <v>525</v>
      </c>
      <c r="G85" t="s">
        <v>267</v>
      </c>
      <c r="H85" t="s">
        <v>268</v>
      </c>
      <c r="I85">
        <v>4223</v>
      </c>
      <c r="J85" t="s">
        <v>269</v>
      </c>
      <c r="L85" t="s">
        <v>166</v>
      </c>
      <c r="M85" t="s">
        <v>107</v>
      </c>
      <c r="R85" t="s">
        <v>523</v>
      </c>
      <c r="W85" t="s">
        <v>525</v>
      </c>
      <c r="X85" t="s">
        <v>526</v>
      </c>
      <c r="Y85" t="s">
        <v>527</v>
      </c>
      <c r="Z85" t="s">
        <v>110</v>
      </c>
      <c r="AA85" t="str">
        <f>"11576-1131"</f>
        <v>11576-1131</v>
      </c>
      <c r="AB85" t="s">
        <v>172</v>
      </c>
      <c r="AC85" t="s">
        <v>112</v>
      </c>
      <c r="AD85" t="s">
        <v>107</v>
      </c>
      <c r="AE85" t="s">
        <v>113</v>
      </c>
      <c r="AG85" t="s">
        <v>114</v>
      </c>
    </row>
    <row r="86" spans="1:33" x14ac:dyDescent="0.25">
      <c r="A86" t="str">
        <f>"1952340085"</f>
        <v>1952340085</v>
      </c>
      <c r="B86" t="str">
        <f>"00182889"</f>
        <v>00182889</v>
      </c>
      <c r="C86" t="s">
        <v>528</v>
      </c>
      <c r="D86" t="s">
        <v>529</v>
      </c>
      <c r="E86" t="s">
        <v>530</v>
      </c>
      <c r="G86" t="s">
        <v>203</v>
      </c>
      <c r="H86" t="s">
        <v>204</v>
      </c>
      <c r="J86" t="s">
        <v>205</v>
      </c>
      <c r="L86" t="s">
        <v>215</v>
      </c>
      <c r="M86" t="s">
        <v>107</v>
      </c>
      <c r="R86" t="s">
        <v>528</v>
      </c>
      <c r="W86" t="s">
        <v>530</v>
      </c>
      <c r="X86" t="s">
        <v>531</v>
      </c>
      <c r="Y86" t="s">
        <v>207</v>
      </c>
      <c r="Z86" t="s">
        <v>110</v>
      </c>
      <c r="AA86" t="str">
        <f>"11375-6625"</f>
        <v>11375-6625</v>
      </c>
      <c r="AB86" t="s">
        <v>172</v>
      </c>
      <c r="AC86" t="s">
        <v>112</v>
      </c>
      <c r="AD86" t="s">
        <v>107</v>
      </c>
      <c r="AE86" t="s">
        <v>113</v>
      </c>
      <c r="AG86" t="s">
        <v>114</v>
      </c>
    </row>
    <row r="87" spans="1:33" x14ac:dyDescent="0.25">
      <c r="A87" t="str">
        <f>"1194093468"</f>
        <v>1194093468</v>
      </c>
      <c r="B87" t="str">
        <f>"03443996"</f>
        <v>03443996</v>
      </c>
      <c r="C87" t="s">
        <v>532</v>
      </c>
      <c r="D87" t="s">
        <v>533</v>
      </c>
      <c r="E87" t="s">
        <v>534</v>
      </c>
      <c r="G87" t="s">
        <v>535</v>
      </c>
      <c r="H87" t="s">
        <v>413</v>
      </c>
      <c r="J87" t="s">
        <v>536</v>
      </c>
      <c r="L87" t="s">
        <v>373</v>
      </c>
      <c r="M87" t="s">
        <v>107</v>
      </c>
      <c r="R87" t="s">
        <v>534</v>
      </c>
      <c r="W87" t="s">
        <v>534</v>
      </c>
      <c r="X87" t="s">
        <v>537</v>
      </c>
      <c r="Y87" t="s">
        <v>225</v>
      </c>
      <c r="Z87" t="s">
        <v>110</v>
      </c>
      <c r="AA87" t="str">
        <f>"11354-1022"</f>
        <v>11354-1022</v>
      </c>
      <c r="AB87" t="s">
        <v>208</v>
      </c>
      <c r="AC87" t="s">
        <v>112</v>
      </c>
      <c r="AD87" t="s">
        <v>107</v>
      </c>
      <c r="AE87" t="s">
        <v>113</v>
      </c>
      <c r="AG87" t="s">
        <v>114</v>
      </c>
    </row>
    <row r="88" spans="1:33" x14ac:dyDescent="0.25">
      <c r="A88" t="str">
        <f>"1841233178"</f>
        <v>1841233178</v>
      </c>
      <c r="B88" t="str">
        <f>"01544449"</f>
        <v>01544449</v>
      </c>
      <c r="C88" t="s">
        <v>538</v>
      </c>
      <c r="D88" t="s">
        <v>539</v>
      </c>
      <c r="E88" t="s">
        <v>540</v>
      </c>
      <c r="G88" t="s">
        <v>541</v>
      </c>
      <c r="H88" t="s">
        <v>542</v>
      </c>
      <c r="I88">
        <v>347</v>
      </c>
      <c r="J88" t="s">
        <v>543</v>
      </c>
      <c r="L88" t="s">
        <v>67</v>
      </c>
      <c r="M88" t="s">
        <v>167</v>
      </c>
      <c r="R88" t="s">
        <v>544</v>
      </c>
      <c r="W88" t="s">
        <v>540</v>
      </c>
      <c r="X88" t="s">
        <v>545</v>
      </c>
      <c r="Y88" t="s">
        <v>240</v>
      </c>
      <c r="Z88" t="s">
        <v>110</v>
      </c>
      <c r="AA88" t="str">
        <f>"11203-6703"</f>
        <v>11203-6703</v>
      </c>
      <c r="AB88" t="s">
        <v>546</v>
      </c>
      <c r="AC88" t="s">
        <v>112</v>
      </c>
      <c r="AD88" t="s">
        <v>107</v>
      </c>
      <c r="AE88" t="s">
        <v>113</v>
      </c>
      <c r="AG88" t="s">
        <v>114</v>
      </c>
    </row>
    <row r="89" spans="1:33" x14ac:dyDescent="0.25">
      <c r="A89" t="str">
        <f>"1649376575"</f>
        <v>1649376575</v>
      </c>
      <c r="B89" t="str">
        <f>"03083814"</f>
        <v>03083814</v>
      </c>
      <c r="C89" t="s">
        <v>547</v>
      </c>
      <c r="D89" t="s">
        <v>548</v>
      </c>
      <c r="E89" t="s">
        <v>549</v>
      </c>
      <c r="G89" t="s">
        <v>412</v>
      </c>
      <c r="H89" t="s">
        <v>413</v>
      </c>
      <c r="J89" t="s">
        <v>414</v>
      </c>
      <c r="L89" t="s">
        <v>315</v>
      </c>
      <c r="M89" t="s">
        <v>167</v>
      </c>
      <c r="R89" t="s">
        <v>547</v>
      </c>
      <c r="W89" t="s">
        <v>549</v>
      </c>
      <c r="X89" t="s">
        <v>550</v>
      </c>
      <c r="Y89" t="s">
        <v>240</v>
      </c>
      <c r="Z89" t="s">
        <v>110</v>
      </c>
      <c r="AA89" t="str">
        <f>"11201-1093"</f>
        <v>11201-1093</v>
      </c>
      <c r="AB89" t="s">
        <v>172</v>
      </c>
      <c r="AC89" t="s">
        <v>112</v>
      </c>
      <c r="AD89" t="s">
        <v>107</v>
      </c>
      <c r="AE89" t="s">
        <v>113</v>
      </c>
      <c r="AG89" t="s">
        <v>114</v>
      </c>
    </row>
    <row r="90" spans="1:33" x14ac:dyDescent="0.25">
      <c r="A90" t="str">
        <f>"1093862724"</f>
        <v>1093862724</v>
      </c>
      <c r="B90" t="str">
        <f>"03021001"</f>
        <v>03021001</v>
      </c>
      <c r="C90" t="s">
        <v>551</v>
      </c>
      <c r="D90" t="s">
        <v>552</v>
      </c>
      <c r="E90" t="s">
        <v>553</v>
      </c>
      <c r="G90" t="s">
        <v>176</v>
      </c>
      <c r="H90" t="s">
        <v>177</v>
      </c>
      <c r="I90">
        <v>3264</v>
      </c>
      <c r="J90" t="s">
        <v>178</v>
      </c>
      <c r="L90" t="s">
        <v>117</v>
      </c>
      <c r="M90" t="s">
        <v>107</v>
      </c>
      <c r="R90" t="s">
        <v>554</v>
      </c>
      <c r="W90" t="s">
        <v>555</v>
      </c>
      <c r="X90" t="s">
        <v>556</v>
      </c>
      <c r="Y90" t="s">
        <v>183</v>
      </c>
      <c r="Z90" t="s">
        <v>110</v>
      </c>
      <c r="AA90" t="str">
        <f>"10452-2001"</f>
        <v>10452-2001</v>
      </c>
      <c r="AB90" t="s">
        <v>111</v>
      </c>
      <c r="AC90" t="s">
        <v>112</v>
      </c>
      <c r="AD90" t="s">
        <v>107</v>
      </c>
      <c r="AE90" t="s">
        <v>113</v>
      </c>
      <c r="AG90" t="s">
        <v>114</v>
      </c>
    </row>
    <row r="91" spans="1:33" x14ac:dyDescent="0.25">
      <c r="A91" t="str">
        <f>"1942205091"</f>
        <v>1942205091</v>
      </c>
      <c r="B91" t="str">
        <f>"01863496"</f>
        <v>01863496</v>
      </c>
      <c r="C91" t="s">
        <v>557</v>
      </c>
      <c r="D91" t="s">
        <v>558</v>
      </c>
      <c r="E91" t="s">
        <v>557</v>
      </c>
      <c r="G91" t="s">
        <v>412</v>
      </c>
      <c r="H91" t="s">
        <v>413</v>
      </c>
      <c r="J91" t="s">
        <v>414</v>
      </c>
      <c r="L91" t="s">
        <v>315</v>
      </c>
      <c r="M91" t="s">
        <v>167</v>
      </c>
      <c r="R91" t="s">
        <v>557</v>
      </c>
      <c r="W91" t="s">
        <v>557</v>
      </c>
      <c r="X91" t="s">
        <v>559</v>
      </c>
      <c r="Y91" t="s">
        <v>240</v>
      </c>
      <c r="Z91" t="s">
        <v>110</v>
      </c>
      <c r="AA91" t="str">
        <f>"11201-1000"</f>
        <v>11201-1000</v>
      </c>
      <c r="AB91" t="s">
        <v>172</v>
      </c>
      <c r="AC91" t="s">
        <v>112</v>
      </c>
      <c r="AD91" t="s">
        <v>107</v>
      </c>
      <c r="AE91" t="s">
        <v>113</v>
      </c>
      <c r="AG91" t="s">
        <v>114</v>
      </c>
    </row>
    <row r="92" spans="1:33" x14ac:dyDescent="0.25">
      <c r="A92" t="str">
        <f>"1528335577"</f>
        <v>1528335577</v>
      </c>
      <c r="B92" t="str">
        <f>"03725344"</f>
        <v>03725344</v>
      </c>
      <c r="C92" t="s">
        <v>560</v>
      </c>
      <c r="D92" t="s">
        <v>561</v>
      </c>
      <c r="E92" t="s">
        <v>562</v>
      </c>
      <c r="G92" t="s">
        <v>412</v>
      </c>
      <c r="H92" t="s">
        <v>413</v>
      </c>
      <c r="J92" t="s">
        <v>414</v>
      </c>
      <c r="L92" t="s">
        <v>166</v>
      </c>
      <c r="M92" t="s">
        <v>167</v>
      </c>
      <c r="R92" t="s">
        <v>560</v>
      </c>
      <c r="W92" t="s">
        <v>562</v>
      </c>
      <c r="X92" t="s">
        <v>563</v>
      </c>
      <c r="Y92" t="s">
        <v>325</v>
      </c>
      <c r="Z92" t="s">
        <v>110</v>
      </c>
      <c r="AA92" t="str">
        <f>"10039-3027"</f>
        <v>10039-3027</v>
      </c>
      <c r="AB92" t="s">
        <v>172</v>
      </c>
      <c r="AC92" t="s">
        <v>112</v>
      </c>
      <c r="AD92" t="s">
        <v>107</v>
      </c>
      <c r="AE92" t="s">
        <v>113</v>
      </c>
      <c r="AG92" t="s">
        <v>114</v>
      </c>
    </row>
    <row r="93" spans="1:33" x14ac:dyDescent="0.25">
      <c r="A93" t="str">
        <f>"1659490563"</f>
        <v>1659490563</v>
      </c>
      <c r="B93" t="str">
        <f>"02598709"</f>
        <v>02598709</v>
      </c>
      <c r="C93" t="s">
        <v>564</v>
      </c>
      <c r="D93" t="s">
        <v>565</v>
      </c>
      <c r="E93" t="s">
        <v>566</v>
      </c>
      <c r="G93" t="s">
        <v>212</v>
      </c>
      <c r="H93" t="s">
        <v>213</v>
      </c>
      <c r="J93" t="s">
        <v>214</v>
      </c>
      <c r="L93" t="s">
        <v>166</v>
      </c>
      <c r="M93" t="s">
        <v>167</v>
      </c>
      <c r="R93" t="s">
        <v>564</v>
      </c>
      <c r="W93" t="s">
        <v>566</v>
      </c>
      <c r="X93" t="s">
        <v>567</v>
      </c>
      <c r="Y93" t="s">
        <v>568</v>
      </c>
      <c r="Z93" t="s">
        <v>569</v>
      </c>
      <c r="AA93" t="str">
        <f>"01199-1006"</f>
        <v>01199-1006</v>
      </c>
      <c r="AB93" t="s">
        <v>172</v>
      </c>
      <c r="AC93" t="s">
        <v>112</v>
      </c>
      <c r="AD93" t="s">
        <v>107</v>
      </c>
      <c r="AE93" t="s">
        <v>113</v>
      </c>
      <c r="AG93" t="s">
        <v>114</v>
      </c>
    </row>
    <row r="94" spans="1:33" x14ac:dyDescent="0.25">
      <c r="A94" t="str">
        <f>"1881976702"</f>
        <v>1881976702</v>
      </c>
      <c r="C94" t="s">
        <v>570</v>
      </c>
      <c r="G94" t="s">
        <v>273</v>
      </c>
      <c r="H94" t="s">
        <v>274</v>
      </c>
      <c r="J94" t="s">
        <v>275</v>
      </c>
      <c r="K94" t="s">
        <v>276</v>
      </c>
      <c r="L94" t="s">
        <v>106</v>
      </c>
      <c r="M94" t="s">
        <v>107</v>
      </c>
      <c r="R94" t="s">
        <v>570</v>
      </c>
      <c r="S94" t="s">
        <v>571</v>
      </c>
      <c r="T94" t="s">
        <v>200</v>
      </c>
      <c r="U94" t="s">
        <v>110</v>
      </c>
      <c r="V94" t="str">
        <f>"113726300"</f>
        <v>113726300</v>
      </c>
      <c r="AC94" t="s">
        <v>112</v>
      </c>
      <c r="AD94" t="s">
        <v>107</v>
      </c>
      <c r="AE94" t="s">
        <v>278</v>
      </c>
      <c r="AG94" t="s">
        <v>114</v>
      </c>
    </row>
    <row r="95" spans="1:33" x14ac:dyDescent="0.25">
      <c r="A95" t="str">
        <f>"1174757249"</f>
        <v>1174757249</v>
      </c>
      <c r="B95" t="str">
        <f>"03166290"</f>
        <v>03166290</v>
      </c>
      <c r="C95" t="s">
        <v>572</v>
      </c>
      <c r="D95" t="s">
        <v>573</v>
      </c>
      <c r="E95" t="s">
        <v>572</v>
      </c>
      <c r="G95" t="s">
        <v>195</v>
      </c>
      <c r="H95" t="s">
        <v>196</v>
      </c>
      <c r="J95" t="s">
        <v>197</v>
      </c>
      <c r="L95" t="s">
        <v>166</v>
      </c>
      <c r="M95" t="s">
        <v>107</v>
      </c>
      <c r="R95" t="s">
        <v>572</v>
      </c>
      <c r="W95" t="s">
        <v>572</v>
      </c>
      <c r="X95" t="s">
        <v>574</v>
      </c>
      <c r="Y95" t="s">
        <v>240</v>
      </c>
      <c r="Z95" t="s">
        <v>110</v>
      </c>
      <c r="AA95" t="str">
        <f>"11234-2609"</f>
        <v>11234-2609</v>
      </c>
      <c r="AB95" t="s">
        <v>172</v>
      </c>
      <c r="AC95" t="s">
        <v>112</v>
      </c>
      <c r="AD95" t="s">
        <v>107</v>
      </c>
      <c r="AE95" t="s">
        <v>113</v>
      </c>
      <c r="AG95" t="s">
        <v>114</v>
      </c>
    </row>
    <row r="96" spans="1:33" x14ac:dyDescent="0.25">
      <c r="A96" t="str">
        <f>"1609905975"</f>
        <v>1609905975</v>
      </c>
      <c r="B96" t="str">
        <f>"02593855"</f>
        <v>02593855</v>
      </c>
      <c r="C96" t="s">
        <v>575</v>
      </c>
      <c r="D96" t="s">
        <v>576</v>
      </c>
      <c r="E96" t="s">
        <v>577</v>
      </c>
      <c r="G96" t="s">
        <v>195</v>
      </c>
      <c r="H96" t="s">
        <v>196</v>
      </c>
      <c r="J96" t="s">
        <v>197</v>
      </c>
      <c r="L96" t="s">
        <v>166</v>
      </c>
      <c r="M96" t="s">
        <v>167</v>
      </c>
      <c r="R96" t="s">
        <v>575</v>
      </c>
      <c r="W96" t="s">
        <v>577</v>
      </c>
      <c r="Y96" t="s">
        <v>225</v>
      </c>
      <c r="Z96" t="s">
        <v>110</v>
      </c>
      <c r="AA96" t="str">
        <f>"11355-5045"</f>
        <v>11355-5045</v>
      </c>
      <c r="AB96" t="s">
        <v>172</v>
      </c>
      <c r="AC96" t="s">
        <v>112</v>
      </c>
      <c r="AD96" t="s">
        <v>107</v>
      </c>
      <c r="AE96" t="s">
        <v>113</v>
      </c>
      <c r="AG96" t="s">
        <v>114</v>
      </c>
    </row>
    <row r="97" spans="1:33" x14ac:dyDescent="0.25">
      <c r="A97" t="str">
        <f>"1972675353"</f>
        <v>1972675353</v>
      </c>
      <c r="B97" t="str">
        <f>"01839523"</f>
        <v>01839523</v>
      </c>
      <c r="C97" t="s">
        <v>578</v>
      </c>
      <c r="D97" t="s">
        <v>579</v>
      </c>
      <c r="E97" t="s">
        <v>580</v>
      </c>
      <c r="G97" t="s">
        <v>412</v>
      </c>
      <c r="H97" t="s">
        <v>413</v>
      </c>
      <c r="J97" t="s">
        <v>414</v>
      </c>
      <c r="L97" t="s">
        <v>215</v>
      </c>
      <c r="M97" t="s">
        <v>167</v>
      </c>
      <c r="R97" t="s">
        <v>578</v>
      </c>
      <c r="W97" t="s">
        <v>580</v>
      </c>
      <c r="X97" t="s">
        <v>581</v>
      </c>
      <c r="Y97" t="s">
        <v>325</v>
      </c>
      <c r="Z97" t="s">
        <v>110</v>
      </c>
      <c r="AA97" t="str">
        <f>"10025-1716"</f>
        <v>10025-1716</v>
      </c>
      <c r="AB97" t="s">
        <v>172</v>
      </c>
      <c r="AC97" t="s">
        <v>112</v>
      </c>
      <c r="AD97" t="s">
        <v>107</v>
      </c>
      <c r="AE97" t="s">
        <v>113</v>
      </c>
      <c r="AG97" t="s">
        <v>114</v>
      </c>
    </row>
    <row r="98" spans="1:33" x14ac:dyDescent="0.25">
      <c r="A98" t="str">
        <f>"1750552303"</f>
        <v>1750552303</v>
      </c>
      <c r="B98" t="str">
        <f>"03282780"</f>
        <v>03282780</v>
      </c>
      <c r="C98" t="s">
        <v>582</v>
      </c>
      <c r="D98" t="s">
        <v>583</v>
      </c>
      <c r="E98" t="s">
        <v>584</v>
      </c>
      <c r="G98" t="s">
        <v>176</v>
      </c>
      <c r="H98" t="s">
        <v>177</v>
      </c>
      <c r="I98">
        <v>3264</v>
      </c>
      <c r="J98" t="s">
        <v>178</v>
      </c>
      <c r="L98" t="s">
        <v>215</v>
      </c>
      <c r="M98" t="s">
        <v>107</v>
      </c>
      <c r="R98" t="s">
        <v>582</v>
      </c>
      <c r="W98" t="s">
        <v>585</v>
      </c>
      <c r="X98" t="s">
        <v>556</v>
      </c>
      <c r="Y98" t="s">
        <v>183</v>
      </c>
      <c r="Z98" t="s">
        <v>110</v>
      </c>
      <c r="AA98" t="str">
        <f>"10452-2001"</f>
        <v>10452-2001</v>
      </c>
      <c r="AB98" t="s">
        <v>172</v>
      </c>
      <c r="AC98" t="s">
        <v>112</v>
      </c>
      <c r="AD98" t="s">
        <v>107</v>
      </c>
      <c r="AE98" t="s">
        <v>113</v>
      </c>
      <c r="AG98" t="s">
        <v>114</v>
      </c>
    </row>
    <row r="99" spans="1:33" x14ac:dyDescent="0.25">
      <c r="A99" t="str">
        <f>"1881861524"</f>
        <v>1881861524</v>
      </c>
      <c r="B99" t="str">
        <f>"03346527"</f>
        <v>03346527</v>
      </c>
      <c r="C99" t="s">
        <v>586</v>
      </c>
      <c r="D99" t="s">
        <v>587</v>
      </c>
      <c r="E99" t="s">
        <v>588</v>
      </c>
      <c r="G99" t="s">
        <v>176</v>
      </c>
      <c r="H99" t="s">
        <v>177</v>
      </c>
      <c r="I99">
        <v>3264</v>
      </c>
      <c r="J99" t="s">
        <v>178</v>
      </c>
      <c r="L99" t="s">
        <v>166</v>
      </c>
      <c r="M99" t="s">
        <v>167</v>
      </c>
      <c r="R99" t="s">
        <v>586</v>
      </c>
      <c r="W99" t="s">
        <v>589</v>
      </c>
      <c r="X99" t="s">
        <v>590</v>
      </c>
      <c r="Y99" t="s">
        <v>183</v>
      </c>
      <c r="Z99" t="s">
        <v>110</v>
      </c>
      <c r="AA99" t="str">
        <f>"10457-7239"</f>
        <v>10457-7239</v>
      </c>
      <c r="AB99" t="s">
        <v>172</v>
      </c>
      <c r="AC99" t="s">
        <v>112</v>
      </c>
      <c r="AD99" t="s">
        <v>107</v>
      </c>
      <c r="AE99" t="s">
        <v>113</v>
      </c>
      <c r="AG99" t="s">
        <v>114</v>
      </c>
    </row>
    <row r="100" spans="1:33" x14ac:dyDescent="0.25">
      <c r="A100" t="str">
        <f>"1467646281"</f>
        <v>1467646281</v>
      </c>
      <c r="C100" t="s">
        <v>591</v>
      </c>
      <c r="G100" t="s">
        <v>592</v>
      </c>
      <c r="H100" t="s">
        <v>593</v>
      </c>
      <c r="J100" t="s">
        <v>594</v>
      </c>
      <c r="K100" t="s">
        <v>595</v>
      </c>
      <c r="L100" t="s">
        <v>373</v>
      </c>
      <c r="M100" t="s">
        <v>107</v>
      </c>
      <c r="R100" t="s">
        <v>596</v>
      </c>
      <c r="S100" t="s">
        <v>597</v>
      </c>
      <c r="T100" t="s">
        <v>325</v>
      </c>
      <c r="U100" t="s">
        <v>110</v>
      </c>
      <c r="V100" t="str">
        <f>"100131207"</f>
        <v>100131207</v>
      </c>
      <c r="AC100" t="s">
        <v>112</v>
      </c>
      <c r="AD100" t="s">
        <v>107</v>
      </c>
      <c r="AE100" t="s">
        <v>278</v>
      </c>
      <c r="AG100" t="s">
        <v>114</v>
      </c>
    </row>
    <row r="101" spans="1:33" x14ac:dyDescent="0.25">
      <c r="A101" t="str">
        <f>"1437209079"</f>
        <v>1437209079</v>
      </c>
      <c r="B101" t="str">
        <f>"02473581"</f>
        <v>02473581</v>
      </c>
      <c r="C101" t="s">
        <v>598</v>
      </c>
      <c r="D101" t="s">
        <v>599</v>
      </c>
      <c r="E101" t="s">
        <v>600</v>
      </c>
      <c r="G101" t="s">
        <v>289</v>
      </c>
      <c r="H101" t="s">
        <v>290</v>
      </c>
      <c r="J101" t="s">
        <v>291</v>
      </c>
      <c r="L101" t="s">
        <v>117</v>
      </c>
      <c r="M101" t="s">
        <v>107</v>
      </c>
      <c r="R101" t="s">
        <v>598</v>
      </c>
      <c r="W101" t="s">
        <v>600</v>
      </c>
      <c r="X101" t="s">
        <v>601</v>
      </c>
      <c r="Y101" t="s">
        <v>183</v>
      </c>
      <c r="Z101" t="s">
        <v>110</v>
      </c>
      <c r="AA101" t="str">
        <f>"10466-2604"</f>
        <v>10466-2604</v>
      </c>
      <c r="AB101" t="s">
        <v>172</v>
      </c>
      <c r="AC101" t="s">
        <v>112</v>
      </c>
      <c r="AD101" t="s">
        <v>107</v>
      </c>
      <c r="AE101" t="s">
        <v>113</v>
      </c>
      <c r="AG101" t="s">
        <v>114</v>
      </c>
    </row>
    <row r="102" spans="1:33" x14ac:dyDescent="0.25">
      <c r="A102" t="str">
        <f>"1619261229"</f>
        <v>1619261229</v>
      </c>
      <c r="B102" t="str">
        <f>"03398643"</f>
        <v>03398643</v>
      </c>
      <c r="C102" t="s">
        <v>602</v>
      </c>
      <c r="D102" t="s">
        <v>603</v>
      </c>
      <c r="E102" t="s">
        <v>604</v>
      </c>
      <c r="G102" t="s">
        <v>289</v>
      </c>
      <c r="H102" t="s">
        <v>290</v>
      </c>
      <c r="J102" t="s">
        <v>291</v>
      </c>
      <c r="L102" t="s">
        <v>106</v>
      </c>
      <c r="M102" t="s">
        <v>107</v>
      </c>
      <c r="W102" t="s">
        <v>604</v>
      </c>
      <c r="X102" t="s">
        <v>605</v>
      </c>
      <c r="Y102" t="s">
        <v>240</v>
      </c>
      <c r="Z102" t="s">
        <v>110</v>
      </c>
      <c r="AA102" t="str">
        <f>"11236-2504"</f>
        <v>11236-2504</v>
      </c>
      <c r="AB102" t="s">
        <v>606</v>
      </c>
      <c r="AC102" t="s">
        <v>112</v>
      </c>
      <c r="AD102" t="s">
        <v>107</v>
      </c>
      <c r="AE102" t="s">
        <v>113</v>
      </c>
      <c r="AG102" t="s">
        <v>114</v>
      </c>
    </row>
    <row r="103" spans="1:33" x14ac:dyDescent="0.25">
      <c r="A103" t="str">
        <f>"1093027104"</f>
        <v>1093027104</v>
      </c>
      <c r="B103" t="str">
        <f>"03294617"</f>
        <v>03294617</v>
      </c>
      <c r="C103" t="s">
        <v>607</v>
      </c>
      <c r="D103" t="s">
        <v>608</v>
      </c>
      <c r="E103" t="s">
        <v>609</v>
      </c>
      <c r="G103" t="s">
        <v>289</v>
      </c>
      <c r="H103" t="s">
        <v>290</v>
      </c>
      <c r="J103" t="s">
        <v>291</v>
      </c>
      <c r="L103" t="s">
        <v>373</v>
      </c>
      <c r="M103" t="s">
        <v>107</v>
      </c>
      <c r="R103" t="s">
        <v>607</v>
      </c>
      <c r="W103" t="s">
        <v>609</v>
      </c>
      <c r="X103" t="s">
        <v>610</v>
      </c>
      <c r="Y103" t="s">
        <v>240</v>
      </c>
      <c r="Z103" t="s">
        <v>110</v>
      </c>
      <c r="AA103" t="str">
        <f>"11203-2054"</f>
        <v>11203-2054</v>
      </c>
      <c r="AB103" t="s">
        <v>606</v>
      </c>
      <c r="AC103" t="s">
        <v>112</v>
      </c>
      <c r="AD103" t="s">
        <v>107</v>
      </c>
      <c r="AE103" t="s">
        <v>113</v>
      </c>
      <c r="AG103" t="s">
        <v>114</v>
      </c>
    </row>
    <row r="104" spans="1:33" x14ac:dyDescent="0.25">
      <c r="A104" t="str">
        <f>"1194732966"</f>
        <v>1194732966</v>
      </c>
      <c r="B104" t="str">
        <f>"01237365"</f>
        <v>01237365</v>
      </c>
      <c r="C104" t="s">
        <v>611</v>
      </c>
      <c r="D104" t="s">
        <v>612</v>
      </c>
      <c r="E104" t="s">
        <v>613</v>
      </c>
      <c r="G104" t="s">
        <v>289</v>
      </c>
      <c r="H104" t="s">
        <v>290</v>
      </c>
      <c r="J104" t="s">
        <v>291</v>
      </c>
      <c r="L104" t="s">
        <v>117</v>
      </c>
      <c r="M104" t="s">
        <v>107</v>
      </c>
      <c r="R104" t="s">
        <v>611</v>
      </c>
      <c r="W104" t="s">
        <v>613</v>
      </c>
      <c r="X104" t="s">
        <v>614</v>
      </c>
      <c r="Y104" t="s">
        <v>615</v>
      </c>
      <c r="Z104" t="s">
        <v>110</v>
      </c>
      <c r="AA104" t="str">
        <f>"11426-1211"</f>
        <v>11426-1211</v>
      </c>
      <c r="AB104" t="s">
        <v>606</v>
      </c>
      <c r="AC104" t="s">
        <v>112</v>
      </c>
      <c r="AD104" t="s">
        <v>107</v>
      </c>
      <c r="AE104" t="s">
        <v>113</v>
      </c>
      <c r="AG104" t="s">
        <v>114</v>
      </c>
    </row>
    <row r="105" spans="1:33" x14ac:dyDescent="0.25">
      <c r="A105" t="str">
        <f>"1306930037"</f>
        <v>1306930037</v>
      </c>
      <c r="B105" t="str">
        <f>"00385057"</f>
        <v>00385057</v>
      </c>
      <c r="C105" t="s">
        <v>616</v>
      </c>
      <c r="D105" t="s">
        <v>617</v>
      </c>
      <c r="E105" t="s">
        <v>618</v>
      </c>
      <c r="G105" t="s">
        <v>289</v>
      </c>
      <c r="H105" t="s">
        <v>290</v>
      </c>
      <c r="J105" t="s">
        <v>291</v>
      </c>
      <c r="L105" t="s">
        <v>106</v>
      </c>
      <c r="M105" t="s">
        <v>107</v>
      </c>
      <c r="R105" t="s">
        <v>616</v>
      </c>
      <c r="W105" t="s">
        <v>616</v>
      </c>
      <c r="X105" t="s">
        <v>619</v>
      </c>
      <c r="Y105" t="s">
        <v>481</v>
      </c>
      <c r="Z105" t="s">
        <v>110</v>
      </c>
      <c r="AA105" t="str">
        <f>"11427-2128"</f>
        <v>11427-2128</v>
      </c>
      <c r="AB105" t="s">
        <v>172</v>
      </c>
      <c r="AC105" t="s">
        <v>112</v>
      </c>
      <c r="AD105" t="s">
        <v>107</v>
      </c>
      <c r="AE105" t="s">
        <v>113</v>
      </c>
      <c r="AG105" t="s">
        <v>114</v>
      </c>
    </row>
    <row r="106" spans="1:33" x14ac:dyDescent="0.25">
      <c r="A106" t="str">
        <f>"1912336744"</f>
        <v>1912336744</v>
      </c>
      <c r="C106" t="s">
        <v>620</v>
      </c>
      <c r="G106" t="s">
        <v>289</v>
      </c>
      <c r="H106" t="s">
        <v>290</v>
      </c>
      <c r="J106" t="s">
        <v>291</v>
      </c>
      <c r="K106" t="s">
        <v>276</v>
      </c>
      <c r="L106" t="s">
        <v>373</v>
      </c>
      <c r="M106" t="s">
        <v>107</v>
      </c>
      <c r="R106" t="s">
        <v>620</v>
      </c>
      <c r="S106" t="s">
        <v>621</v>
      </c>
      <c r="T106" t="s">
        <v>294</v>
      </c>
      <c r="U106" t="s">
        <v>110</v>
      </c>
      <c r="V106" t="str">
        <f>"115701837"</f>
        <v>115701837</v>
      </c>
      <c r="AC106" t="s">
        <v>112</v>
      </c>
      <c r="AD106" t="s">
        <v>107</v>
      </c>
      <c r="AE106" t="s">
        <v>278</v>
      </c>
      <c r="AG106" t="s">
        <v>114</v>
      </c>
    </row>
    <row r="107" spans="1:33" x14ac:dyDescent="0.25">
      <c r="A107" t="str">
        <f>"1225354772"</f>
        <v>1225354772</v>
      </c>
      <c r="C107" t="s">
        <v>622</v>
      </c>
      <c r="G107" t="s">
        <v>289</v>
      </c>
      <c r="H107" t="s">
        <v>290</v>
      </c>
      <c r="J107" t="s">
        <v>291</v>
      </c>
      <c r="K107" t="s">
        <v>276</v>
      </c>
      <c r="L107" t="s">
        <v>106</v>
      </c>
      <c r="M107" t="s">
        <v>107</v>
      </c>
      <c r="R107" t="s">
        <v>622</v>
      </c>
      <c r="S107" t="s">
        <v>623</v>
      </c>
      <c r="T107" t="s">
        <v>240</v>
      </c>
      <c r="U107" t="s">
        <v>110</v>
      </c>
      <c r="V107" t="str">
        <f>"112345924"</f>
        <v>112345924</v>
      </c>
      <c r="AC107" t="s">
        <v>112</v>
      </c>
      <c r="AD107" t="s">
        <v>107</v>
      </c>
      <c r="AE107" t="s">
        <v>278</v>
      </c>
      <c r="AG107" t="s">
        <v>114</v>
      </c>
    </row>
    <row r="108" spans="1:33" x14ac:dyDescent="0.25">
      <c r="A108" t="str">
        <f>"1568786309"</f>
        <v>1568786309</v>
      </c>
      <c r="C108" t="s">
        <v>624</v>
      </c>
      <c r="G108" t="s">
        <v>289</v>
      </c>
      <c r="H108" t="s">
        <v>290</v>
      </c>
      <c r="J108" t="s">
        <v>291</v>
      </c>
      <c r="K108" t="s">
        <v>276</v>
      </c>
      <c r="L108" t="s">
        <v>373</v>
      </c>
      <c r="M108" t="s">
        <v>107</v>
      </c>
      <c r="R108" t="s">
        <v>624</v>
      </c>
      <c r="S108" t="s">
        <v>625</v>
      </c>
      <c r="T108" t="s">
        <v>626</v>
      </c>
      <c r="U108" t="s">
        <v>110</v>
      </c>
      <c r="V108" t="str">
        <f>"111034045"</f>
        <v>111034045</v>
      </c>
      <c r="AC108" t="s">
        <v>112</v>
      </c>
      <c r="AD108" t="s">
        <v>107</v>
      </c>
      <c r="AE108" t="s">
        <v>278</v>
      </c>
      <c r="AG108" t="s">
        <v>114</v>
      </c>
    </row>
    <row r="109" spans="1:33" x14ac:dyDescent="0.25">
      <c r="A109" t="str">
        <f>"1134424302"</f>
        <v>1134424302</v>
      </c>
      <c r="C109" t="s">
        <v>627</v>
      </c>
      <c r="G109" t="s">
        <v>289</v>
      </c>
      <c r="H109" t="s">
        <v>290</v>
      </c>
      <c r="J109" t="s">
        <v>291</v>
      </c>
      <c r="K109" t="s">
        <v>276</v>
      </c>
      <c r="L109" t="s">
        <v>373</v>
      </c>
      <c r="M109" t="s">
        <v>107</v>
      </c>
      <c r="R109" t="s">
        <v>627</v>
      </c>
      <c r="S109" t="s">
        <v>628</v>
      </c>
      <c r="T109" t="s">
        <v>481</v>
      </c>
      <c r="U109" t="s">
        <v>110</v>
      </c>
      <c r="V109" t="str">
        <f>"114272193"</f>
        <v>114272193</v>
      </c>
      <c r="AC109" t="s">
        <v>112</v>
      </c>
      <c r="AD109" t="s">
        <v>107</v>
      </c>
      <c r="AE109" t="s">
        <v>278</v>
      </c>
      <c r="AG109" t="s">
        <v>114</v>
      </c>
    </row>
    <row r="110" spans="1:33" x14ac:dyDescent="0.25">
      <c r="A110" t="str">
        <f>"1881965432"</f>
        <v>1881965432</v>
      </c>
      <c r="C110" t="s">
        <v>629</v>
      </c>
      <c r="G110" t="s">
        <v>289</v>
      </c>
      <c r="H110" t="s">
        <v>290</v>
      </c>
      <c r="J110" t="s">
        <v>291</v>
      </c>
      <c r="K110" t="s">
        <v>276</v>
      </c>
      <c r="L110" t="s">
        <v>373</v>
      </c>
      <c r="M110" t="s">
        <v>107</v>
      </c>
      <c r="R110" t="s">
        <v>629</v>
      </c>
      <c r="S110" t="s">
        <v>630</v>
      </c>
      <c r="T110" t="s">
        <v>481</v>
      </c>
      <c r="U110" t="s">
        <v>110</v>
      </c>
      <c r="V110" t="str">
        <f>"114272193"</f>
        <v>114272193</v>
      </c>
      <c r="AC110" t="s">
        <v>112</v>
      </c>
      <c r="AD110" t="s">
        <v>107</v>
      </c>
      <c r="AE110" t="s">
        <v>278</v>
      </c>
      <c r="AG110" t="s">
        <v>114</v>
      </c>
    </row>
    <row r="111" spans="1:33" x14ac:dyDescent="0.25">
      <c r="A111" t="str">
        <f>"1730405861"</f>
        <v>1730405861</v>
      </c>
      <c r="C111" t="s">
        <v>631</v>
      </c>
      <c r="G111" t="s">
        <v>289</v>
      </c>
      <c r="H111" t="s">
        <v>290</v>
      </c>
      <c r="J111" t="s">
        <v>291</v>
      </c>
      <c r="K111" t="s">
        <v>276</v>
      </c>
      <c r="L111" t="s">
        <v>373</v>
      </c>
      <c r="M111" t="s">
        <v>107</v>
      </c>
      <c r="R111" t="s">
        <v>631</v>
      </c>
      <c r="S111" t="s">
        <v>632</v>
      </c>
      <c r="T111" t="s">
        <v>422</v>
      </c>
      <c r="U111" t="s">
        <v>110</v>
      </c>
      <c r="V111" t="str">
        <f>"11432"</f>
        <v>11432</v>
      </c>
      <c r="AC111" t="s">
        <v>112</v>
      </c>
      <c r="AD111" t="s">
        <v>107</v>
      </c>
      <c r="AE111" t="s">
        <v>278</v>
      </c>
      <c r="AG111" t="s">
        <v>114</v>
      </c>
    </row>
    <row r="112" spans="1:33" x14ac:dyDescent="0.25">
      <c r="A112" t="str">
        <f>"1205152410"</f>
        <v>1205152410</v>
      </c>
      <c r="C112" t="s">
        <v>633</v>
      </c>
      <c r="G112" t="s">
        <v>289</v>
      </c>
      <c r="H112" t="s">
        <v>290</v>
      </c>
      <c r="J112" t="s">
        <v>291</v>
      </c>
      <c r="K112" t="s">
        <v>276</v>
      </c>
      <c r="L112" t="s">
        <v>373</v>
      </c>
      <c r="M112" t="s">
        <v>107</v>
      </c>
      <c r="R112" t="s">
        <v>633</v>
      </c>
      <c r="S112" t="s">
        <v>634</v>
      </c>
      <c r="T112" t="s">
        <v>240</v>
      </c>
      <c r="U112" t="s">
        <v>110</v>
      </c>
      <c r="V112" t="str">
        <f>"112063950"</f>
        <v>112063950</v>
      </c>
      <c r="AC112" t="s">
        <v>112</v>
      </c>
      <c r="AD112" t="s">
        <v>107</v>
      </c>
      <c r="AE112" t="s">
        <v>278</v>
      </c>
      <c r="AG112" t="s">
        <v>114</v>
      </c>
    </row>
    <row r="113" spans="1:33" x14ac:dyDescent="0.25">
      <c r="A113" t="str">
        <f>"1194037747"</f>
        <v>1194037747</v>
      </c>
      <c r="C113" t="s">
        <v>635</v>
      </c>
      <c r="G113" t="s">
        <v>289</v>
      </c>
      <c r="H113" t="s">
        <v>290</v>
      </c>
      <c r="J113" t="s">
        <v>291</v>
      </c>
      <c r="K113" t="s">
        <v>276</v>
      </c>
      <c r="L113" t="s">
        <v>373</v>
      </c>
      <c r="M113" t="s">
        <v>107</v>
      </c>
      <c r="R113" t="s">
        <v>635</v>
      </c>
      <c r="S113" t="s">
        <v>636</v>
      </c>
      <c r="T113" t="s">
        <v>637</v>
      </c>
      <c r="U113" t="s">
        <v>110</v>
      </c>
      <c r="V113" t="str">
        <f>"110031331"</f>
        <v>110031331</v>
      </c>
      <c r="AC113" t="s">
        <v>112</v>
      </c>
      <c r="AD113" t="s">
        <v>107</v>
      </c>
      <c r="AE113" t="s">
        <v>278</v>
      </c>
      <c r="AG113" t="s">
        <v>114</v>
      </c>
    </row>
    <row r="114" spans="1:33" x14ac:dyDescent="0.25">
      <c r="A114" t="str">
        <f>"1992075782"</f>
        <v>1992075782</v>
      </c>
      <c r="C114" t="s">
        <v>638</v>
      </c>
      <c r="G114" t="s">
        <v>289</v>
      </c>
      <c r="H114" t="s">
        <v>290</v>
      </c>
      <c r="J114" t="s">
        <v>291</v>
      </c>
      <c r="K114" t="s">
        <v>276</v>
      </c>
      <c r="L114" t="s">
        <v>373</v>
      </c>
      <c r="M114" t="s">
        <v>107</v>
      </c>
      <c r="R114" t="s">
        <v>638</v>
      </c>
      <c r="S114" t="s">
        <v>619</v>
      </c>
      <c r="T114" t="s">
        <v>481</v>
      </c>
      <c r="U114" t="s">
        <v>110</v>
      </c>
      <c r="V114" t="str">
        <f>"114272128"</f>
        <v>114272128</v>
      </c>
      <c r="AC114" t="s">
        <v>112</v>
      </c>
      <c r="AD114" t="s">
        <v>107</v>
      </c>
      <c r="AE114" t="s">
        <v>278</v>
      </c>
      <c r="AG114" t="s">
        <v>114</v>
      </c>
    </row>
    <row r="115" spans="1:33" x14ac:dyDescent="0.25">
      <c r="A115" t="str">
        <f>"1548389323"</f>
        <v>1548389323</v>
      </c>
      <c r="B115" t="str">
        <f>"04015514"</f>
        <v>04015514</v>
      </c>
      <c r="C115" t="s">
        <v>639</v>
      </c>
      <c r="D115" t="s">
        <v>640</v>
      </c>
      <c r="E115" t="s">
        <v>641</v>
      </c>
      <c r="G115" t="s">
        <v>289</v>
      </c>
      <c r="H115" t="s">
        <v>290</v>
      </c>
      <c r="J115" t="s">
        <v>291</v>
      </c>
      <c r="L115" t="s">
        <v>117</v>
      </c>
      <c r="M115" t="s">
        <v>107</v>
      </c>
      <c r="R115" t="s">
        <v>639</v>
      </c>
      <c r="W115" t="s">
        <v>641</v>
      </c>
      <c r="X115" t="s">
        <v>642</v>
      </c>
      <c r="Y115" t="s">
        <v>481</v>
      </c>
      <c r="Z115" t="s">
        <v>110</v>
      </c>
      <c r="AA115" t="str">
        <f>"11427-1715"</f>
        <v>11427-1715</v>
      </c>
      <c r="AB115" t="s">
        <v>111</v>
      </c>
      <c r="AC115" t="s">
        <v>112</v>
      </c>
      <c r="AD115" t="s">
        <v>107</v>
      </c>
      <c r="AE115" t="s">
        <v>113</v>
      </c>
      <c r="AG115" t="s">
        <v>114</v>
      </c>
    </row>
    <row r="116" spans="1:33" x14ac:dyDescent="0.25">
      <c r="A116" t="str">
        <f>"1619112828"</f>
        <v>1619112828</v>
      </c>
      <c r="B116" t="str">
        <f>"03887285"</f>
        <v>03887285</v>
      </c>
      <c r="C116" t="s">
        <v>643</v>
      </c>
      <c r="D116" t="s">
        <v>644</v>
      </c>
      <c r="E116" t="s">
        <v>645</v>
      </c>
      <c r="G116" t="s">
        <v>103</v>
      </c>
      <c r="H116" t="s">
        <v>104</v>
      </c>
      <c r="J116" t="s">
        <v>105</v>
      </c>
      <c r="L116" t="s">
        <v>117</v>
      </c>
      <c r="M116" t="s">
        <v>107</v>
      </c>
      <c r="R116" t="s">
        <v>643</v>
      </c>
      <c r="W116" t="s">
        <v>645</v>
      </c>
      <c r="X116" t="s">
        <v>646</v>
      </c>
      <c r="Y116" t="s">
        <v>647</v>
      </c>
      <c r="Z116" t="s">
        <v>110</v>
      </c>
      <c r="AA116" t="str">
        <f>"11365-1424"</f>
        <v>11365-1424</v>
      </c>
      <c r="AB116" t="s">
        <v>111</v>
      </c>
      <c r="AC116" t="s">
        <v>112</v>
      </c>
      <c r="AD116" t="s">
        <v>107</v>
      </c>
      <c r="AE116" t="s">
        <v>113</v>
      </c>
      <c r="AG116" t="s">
        <v>114</v>
      </c>
    </row>
    <row r="117" spans="1:33" x14ac:dyDescent="0.25">
      <c r="A117" t="str">
        <f>"1851477640"</f>
        <v>1851477640</v>
      </c>
      <c r="B117" t="str">
        <f>"02542510"</f>
        <v>02542510</v>
      </c>
      <c r="C117" t="s">
        <v>648</v>
      </c>
      <c r="D117" t="s">
        <v>649</v>
      </c>
      <c r="E117" t="s">
        <v>650</v>
      </c>
      <c r="G117" t="s">
        <v>103</v>
      </c>
      <c r="H117" t="s">
        <v>104</v>
      </c>
      <c r="J117" t="s">
        <v>105</v>
      </c>
      <c r="L117" t="s">
        <v>117</v>
      </c>
      <c r="M117" t="s">
        <v>107</v>
      </c>
      <c r="R117" t="s">
        <v>648</v>
      </c>
      <c r="W117" t="s">
        <v>650</v>
      </c>
      <c r="X117" t="s">
        <v>650</v>
      </c>
      <c r="Y117" t="s">
        <v>109</v>
      </c>
      <c r="Z117" t="s">
        <v>110</v>
      </c>
      <c r="AA117" t="str">
        <f>"11374"</f>
        <v>11374</v>
      </c>
      <c r="AB117" t="s">
        <v>111</v>
      </c>
      <c r="AC117" t="s">
        <v>112</v>
      </c>
      <c r="AD117" t="s">
        <v>107</v>
      </c>
      <c r="AE117" t="s">
        <v>113</v>
      </c>
      <c r="AG117" t="s">
        <v>114</v>
      </c>
    </row>
    <row r="118" spans="1:33" x14ac:dyDescent="0.25">
      <c r="A118" t="str">
        <f>"1902177314"</f>
        <v>1902177314</v>
      </c>
      <c r="B118" t="str">
        <f>"03568090"</f>
        <v>03568090</v>
      </c>
      <c r="C118" t="s">
        <v>651</v>
      </c>
      <c r="D118" t="s">
        <v>652</v>
      </c>
      <c r="E118" t="s">
        <v>651</v>
      </c>
      <c r="G118" t="s">
        <v>103</v>
      </c>
      <c r="H118" t="s">
        <v>104</v>
      </c>
      <c r="J118" t="s">
        <v>105</v>
      </c>
      <c r="L118" t="s">
        <v>106</v>
      </c>
      <c r="M118" t="s">
        <v>107</v>
      </c>
      <c r="R118" t="s">
        <v>651</v>
      </c>
      <c r="W118" t="s">
        <v>651</v>
      </c>
      <c r="X118" t="s">
        <v>108</v>
      </c>
      <c r="Y118" t="s">
        <v>109</v>
      </c>
      <c r="Z118" t="s">
        <v>110</v>
      </c>
      <c r="AA118" t="str">
        <f>"11374-2259"</f>
        <v>11374-2259</v>
      </c>
      <c r="AB118" t="s">
        <v>111</v>
      </c>
      <c r="AC118" t="s">
        <v>112</v>
      </c>
      <c r="AD118" t="s">
        <v>107</v>
      </c>
      <c r="AE118" t="s">
        <v>113</v>
      </c>
      <c r="AG118" t="s">
        <v>114</v>
      </c>
    </row>
    <row r="119" spans="1:33" x14ac:dyDescent="0.25">
      <c r="A119" t="str">
        <f>"1225353931"</f>
        <v>1225353931</v>
      </c>
      <c r="B119" t="str">
        <f>"03310583"</f>
        <v>03310583</v>
      </c>
      <c r="C119" t="s">
        <v>653</v>
      </c>
      <c r="D119" t="s">
        <v>654</v>
      </c>
      <c r="E119" t="s">
        <v>653</v>
      </c>
      <c r="G119" t="s">
        <v>103</v>
      </c>
      <c r="H119" t="s">
        <v>104</v>
      </c>
      <c r="J119" t="s">
        <v>105</v>
      </c>
      <c r="L119" t="s">
        <v>117</v>
      </c>
      <c r="M119" t="s">
        <v>107</v>
      </c>
      <c r="R119" t="s">
        <v>653</v>
      </c>
      <c r="W119" t="s">
        <v>653</v>
      </c>
      <c r="X119" t="s">
        <v>655</v>
      </c>
      <c r="Y119" t="s">
        <v>183</v>
      </c>
      <c r="Z119" t="s">
        <v>110</v>
      </c>
      <c r="AA119" t="str">
        <f>"10461-3109"</f>
        <v>10461-3109</v>
      </c>
      <c r="AB119" t="s">
        <v>111</v>
      </c>
      <c r="AC119" t="s">
        <v>112</v>
      </c>
      <c r="AD119" t="s">
        <v>107</v>
      </c>
      <c r="AE119" t="s">
        <v>113</v>
      </c>
      <c r="AG119" t="s">
        <v>114</v>
      </c>
    </row>
    <row r="120" spans="1:33" x14ac:dyDescent="0.25">
      <c r="A120" t="str">
        <f>"1366757494"</f>
        <v>1366757494</v>
      </c>
      <c r="B120" t="str">
        <f>"03310616"</f>
        <v>03310616</v>
      </c>
      <c r="C120" t="s">
        <v>656</v>
      </c>
      <c r="D120" t="s">
        <v>657</v>
      </c>
      <c r="E120" t="s">
        <v>658</v>
      </c>
      <c r="G120" t="s">
        <v>103</v>
      </c>
      <c r="H120" t="s">
        <v>104</v>
      </c>
      <c r="J120" t="s">
        <v>105</v>
      </c>
      <c r="L120" t="s">
        <v>106</v>
      </c>
      <c r="M120" t="s">
        <v>107</v>
      </c>
      <c r="R120" t="s">
        <v>656</v>
      </c>
      <c r="W120" t="s">
        <v>658</v>
      </c>
      <c r="X120" t="s">
        <v>659</v>
      </c>
      <c r="Y120" t="s">
        <v>325</v>
      </c>
      <c r="Z120" t="s">
        <v>110</v>
      </c>
      <c r="AA120" t="str">
        <f>"10024-4018"</f>
        <v>10024-4018</v>
      </c>
      <c r="AB120" t="s">
        <v>111</v>
      </c>
      <c r="AC120" t="s">
        <v>112</v>
      </c>
      <c r="AD120" t="s">
        <v>107</v>
      </c>
      <c r="AE120" t="s">
        <v>113</v>
      </c>
      <c r="AG120" t="s">
        <v>114</v>
      </c>
    </row>
    <row r="121" spans="1:33" x14ac:dyDescent="0.25">
      <c r="A121" t="str">
        <f>"1336212018"</f>
        <v>1336212018</v>
      </c>
      <c r="B121" t="str">
        <f>"04087770"</f>
        <v>04087770</v>
      </c>
      <c r="C121" t="s">
        <v>660</v>
      </c>
      <c r="D121" t="s">
        <v>661</v>
      </c>
      <c r="E121" t="s">
        <v>662</v>
      </c>
      <c r="G121" t="s">
        <v>103</v>
      </c>
      <c r="H121" t="s">
        <v>104</v>
      </c>
      <c r="J121" t="s">
        <v>105</v>
      </c>
      <c r="L121" t="s">
        <v>106</v>
      </c>
      <c r="M121" t="s">
        <v>107</v>
      </c>
      <c r="R121" t="s">
        <v>660</v>
      </c>
      <c r="W121" t="s">
        <v>662</v>
      </c>
      <c r="X121" t="s">
        <v>119</v>
      </c>
      <c r="Y121" t="s">
        <v>109</v>
      </c>
      <c r="Z121" t="s">
        <v>110</v>
      </c>
      <c r="AA121" t="str">
        <f>"11374-2259"</f>
        <v>11374-2259</v>
      </c>
      <c r="AB121" t="s">
        <v>111</v>
      </c>
      <c r="AC121" t="s">
        <v>112</v>
      </c>
      <c r="AD121" t="s">
        <v>107</v>
      </c>
      <c r="AE121" t="s">
        <v>113</v>
      </c>
      <c r="AG121" t="s">
        <v>114</v>
      </c>
    </row>
    <row r="122" spans="1:33" x14ac:dyDescent="0.25">
      <c r="A122" t="str">
        <f>"1679644470"</f>
        <v>1679644470</v>
      </c>
      <c r="C122" t="s">
        <v>663</v>
      </c>
      <c r="G122" t="s">
        <v>103</v>
      </c>
      <c r="H122" t="s">
        <v>104</v>
      </c>
      <c r="J122" t="s">
        <v>105</v>
      </c>
      <c r="K122" t="s">
        <v>276</v>
      </c>
      <c r="L122" t="s">
        <v>106</v>
      </c>
      <c r="M122" t="s">
        <v>107</v>
      </c>
      <c r="R122" t="s">
        <v>663</v>
      </c>
      <c r="S122" t="s">
        <v>108</v>
      </c>
      <c r="T122" t="s">
        <v>109</v>
      </c>
      <c r="U122" t="s">
        <v>110</v>
      </c>
      <c r="V122" t="str">
        <f>"113742240"</f>
        <v>113742240</v>
      </c>
      <c r="AC122" t="s">
        <v>112</v>
      </c>
      <c r="AD122" t="s">
        <v>107</v>
      </c>
      <c r="AE122" t="s">
        <v>278</v>
      </c>
      <c r="AG122" t="s">
        <v>114</v>
      </c>
    </row>
    <row r="123" spans="1:33" x14ac:dyDescent="0.25">
      <c r="A123" t="str">
        <f>"1164699336"</f>
        <v>1164699336</v>
      </c>
      <c r="C123" t="s">
        <v>664</v>
      </c>
      <c r="G123" t="s">
        <v>103</v>
      </c>
      <c r="H123" t="s">
        <v>104</v>
      </c>
      <c r="J123" t="s">
        <v>105</v>
      </c>
      <c r="K123" t="s">
        <v>276</v>
      </c>
      <c r="L123" t="s">
        <v>106</v>
      </c>
      <c r="M123" t="s">
        <v>107</v>
      </c>
      <c r="R123" t="s">
        <v>664</v>
      </c>
      <c r="S123" t="s">
        <v>108</v>
      </c>
      <c r="T123" t="s">
        <v>109</v>
      </c>
      <c r="U123" t="s">
        <v>110</v>
      </c>
      <c r="V123" t="str">
        <f>"113742240"</f>
        <v>113742240</v>
      </c>
      <c r="AC123" t="s">
        <v>112</v>
      </c>
      <c r="AD123" t="s">
        <v>107</v>
      </c>
      <c r="AE123" t="s">
        <v>278</v>
      </c>
      <c r="AG123" t="s">
        <v>114</v>
      </c>
    </row>
    <row r="124" spans="1:33" x14ac:dyDescent="0.25">
      <c r="A124" t="str">
        <f>"1992820872"</f>
        <v>1992820872</v>
      </c>
      <c r="C124" t="s">
        <v>665</v>
      </c>
      <c r="G124" t="s">
        <v>103</v>
      </c>
      <c r="H124" t="s">
        <v>104</v>
      </c>
      <c r="J124" t="s">
        <v>105</v>
      </c>
      <c r="K124" t="s">
        <v>276</v>
      </c>
      <c r="L124" t="s">
        <v>373</v>
      </c>
      <c r="M124" t="s">
        <v>107</v>
      </c>
      <c r="R124" t="s">
        <v>665</v>
      </c>
      <c r="S124" t="s">
        <v>108</v>
      </c>
      <c r="T124" t="s">
        <v>109</v>
      </c>
      <c r="U124" t="s">
        <v>110</v>
      </c>
      <c r="V124" t="str">
        <f>"113742240"</f>
        <v>113742240</v>
      </c>
      <c r="AC124" t="s">
        <v>112</v>
      </c>
      <c r="AD124" t="s">
        <v>107</v>
      </c>
      <c r="AE124" t="s">
        <v>278</v>
      </c>
      <c r="AG124" t="s">
        <v>114</v>
      </c>
    </row>
    <row r="125" spans="1:33" x14ac:dyDescent="0.25">
      <c r="A125" t="str">
        <f>"1427089705"</f>
        <v>1427089705</v>
      </c>
      <c r="C125" t="s">
        <v>666</v>
      </c>
      <c r="G125" t="s">
        <v>103</v>
      </c>
      <c r="H125" t="s">
        <v>104</v>
      </c>
      <c r="J125" t="s">
        <v>105</v>
      </c>
      <c r="K125" t="s">
        <v>276</v>
      </c>
      <c r="L125" t="s">
        <v>106</v>
      </c>
      <c r="M125" t="s">
        <v>107</v>
      </c>
      <c r="R125" t="s">
        <v>666</v>
      </c>
      <c r="S125" t="s">
        <v>108</v>
      </c>
      <c r="T125" t="s">
        <v>109</v>
      </c>
      <c r="U125" t="s">
        <v>110</v>
      </c>
      <c r="V125" t="str">
        <f>"113742240"</f>
        <v>113742240</v>
      </c>
      <c r="AC125" t="s">
        <v>112</v>
      </c>
      <c r="AD125" t="s">
        <v>107</v>
      </c>
      <c r="AE125" t="s">
        <v>278</v>
      </c>
      <c r="AG125" t="s">
        <v>114</v>
      </c>
    </row>
    <row r="126" spans="1:33" x14ac:dyDescent="0.25">
      <c r="A126" t="str">
        <f>"1457528622"</f>
        <v>1457528622</v>
      </c>
      <c r="C126" t="s">
        <v>667</v>
      </c>
      <c r="G126" t="s">
        <v>103</v>
      </c>
      <c r="H126" t="s">
        <v>104</v>
      </c>
      <c r="J126" t="s">
        <v>105</v>
      </c>
      <c r="K126" t="s">
        <v>276</v>
      </c>
      <c r="L126" t="s">
        <v>106</v>
      </c>
      <c r="M126" t="s">
        <v>107</v>
      </c>
      <c r="R126" t="s">
        <v>667</v>
      </c>
      <c r="S126" t="s">
        <v>668</v>
      </c>
      <c r="T126" t="s">
        <v>109</v>
      </c>
      <c r="U126" t="s">
        <v>110</v>
      </c>
      <c r="V126" t="str">
        <f>"11374"</f>
        <v>11374</v>
      </c>
      <c r="AC126" t="s">
        <v>112</v>
      </c>
      <c r="AD126" t="s">
        <v>107</v>
      </c>
      <c r="AE126" t="s">
        <v>278</v>
      </c>
      <c r="AG126" t="s">
        <v>114</v>
      </c>
    </row>
    <row r="127" spans="1:33" x14ac:dyDescent="0.25">
      <c r="A127" t="str">
        <f>"1801207675"</f>
        <v>1801207675</v>
      </c>
      <c r="C127" t="s">
        <v>669</v>
      </c>
      <c r="G127" t="s">
        <v>103</v>
      </c>
      <c r="H127" t="s">
        <v>104</v>
      </c>
      <c r="J127" t="s">
        <v>105</v>
      </c>
      <c r="K127" t="s">
        <v>276</v>
      </c>
      <c r="L127" t="s">
        <v>373</v>
      </c>
      <c r="M127" t="s">
        <v>107</v>
      </c>
      <c r="R127" t="s">
        <v>669</v>
      </c>
      <c r="S127" t="s">
        <v>108</v>
      </c>
      <c r="T127" t="s">
        <v>109</v>
      </c>
      <c r="U127" t="s">
        <v>110</v>
      </c>
      <c r="V127" t="str">
        <f>"113742259"</f>
        <v>113742259</v>
      </c>
      <c r="AC127" t="s">
        <v>112</v>
      </c>
      <c r="AD127" t="s">
        <v>107</v>
      </c>
      <c r="AE127" t="s">
        <v>278</v>
      </c>
      <c r="AG127" t="s">
        <v>114</v>
      </c>
    </row>
    <row r="128" spans="1:33" x14ac:dyDescent="0.25">
      <c r="A128" t="str">
        <f>"1730248246"</f>
        <v>1730248246</v>
      </c>
      <c r="B128" t="str">
        <f>"02276204"</f>
        <v>02276204</v>
      </c>
      <c r="C128" t="s">
        <v>670</v>
      </c>
      <c r="D128" t="s">
        <v>671</v>
      </c>
      <c r="E128" t="s">
        <v>672</v>
      </c>
      <c r="G128" t="s">
        <v>673</v>
      </c>
      <c r="H128" t="s">
        <v>674</v>
      </c>
      <c r="I128">
        <v>6128</v>
      </c>
      <c r="J128" t="s">
        <v>675</v>
      </c>
      <c r="L128" t="s">
        <v>405</v>
      </c>
      <c r="M128" t="s">
        <v>167</v>
      </c>
      <c r="R128" t="s">
        <v>676</v>
      </c>
      <c r="W128" t="s">
        <v>677</v>
      </c>
      <c r="X128" t="s">
        <v>678</v>
      </c>
      <c r="Y128" t="s">
        <v>626</v>
      </c>
      <c r="Z128" t="s">
        <v>110</v>
      </c>
      <c r="AA128" t="str">
        <f>"11102-3544"</f>
        <v>11102-3544</v>
      </c>
      <c r="AB128" t="s">
        <v>408</v>
      </c>
      <c r="AC128" t="s">
        <v>112</v>
      </c>
      <c r="AD128" t="s">
        <v>107</v>
      </c>
      <c r="AE128" t="s">
        <v>113</v>
      </c>
      <c r="AG128" t="s">
        <v>114</v>
      </c>
    </row>
    <row r="129" spans="1:33" x14ac:dyDescent="0.25">
      <c r="A129" t="str">
        <f>"1023053527"</f>
        <v>1023053527</v>
      </c>
      <c r="B129" t="str">
        <f>"00244133"</f>
        <v>00244133</v>
      </c>
      <c r="C129" t="s">
        <v>679</v>
      </c>
      <c r="D129" t="s">
        <v>680</v>
      </c>
      <c r="E129" t="s">
        <v>681</v>
      </c>
      <c r="G129" t="s">
        <v>682</v>
      </c>
      <c r="H129" t="s">
        <v>683</v>
      </c>
      <c r="J129" t="s">
        <v>684</v>
      </c>
      <c r="L129" t="s">
        <v>685</v>
      </c>
      <c r="M129" t="s">
        <v>167</v>
      </c>
      <c r="R129" t="s">
        <v>686</v>
      </c>
      <c r="W129" t="s">
        <v>687</v>
      </c>
      <c r="X129" t="s">
        <v>311</v>
      </c>
      <c r="Y129" t="s">
        <v>225</v>
      </c>
      <c r="Z129" t="s">
        <v>110</v>
      </c>
      <c r="AA129" t="str">
        <f>"11355-5045"</f>
        <v>11355-5045</v>
      </c>
      <c r="AB129" t="s">
        <v>688</v>
      </c>
      <c r="AC129" t="s">
        <v>689</v>
      </c>
      <c r="AD129" t="s">
        <v>107</v>
      </c>
      <c r="AE129" t="s">
        <v>113</v>
      </c>
      <c r="AG129" t="s">
        <v>114</v>
      </c>
    </row>
    <row r="130" spans="1:33" x14ac:dyDescent="0.25">
      <c r="A130" t="str">
        <f>"1013960962"</f>
        <v>1013960962</v>
      </c>
      <c r="B130" t="str">
        <f>"02993566"</f>
        <v>02993566</v>
      </c>
      <c r="C130" t="s">
        <v>679</v>
      </c>
      <c r="D130" t="s">
        <v>690</v>
      </c>
      <c r="E130" t="s">
        <v>681</v>
      </c>
      <c r="G130" t="s">
        <v>682</v>
      </c>
      <c r="H130" t="s">
        <v>683</v>
      </c>
      <c r="J130" t="s">
        <v>684</v>
      </c>
      <c r="L130" t="s">
        <v>67</v>
      </c>
      <c r="M130" t="s">
        <v>107</v>
      </c>
      <c r="R130" t="s">
        <v>691</v>
      </c>
      <c r="W130" t="s">
        <v>692</v>
      </c>
      <c r="X130" t="s">
        <v>311</v>
      </c>
      <c r="Y130" t="s">
        <v>225</v>
      </c>
      <c r="Z130" t="s">
        <v>110</v>
      </c>
      <c r="AA130" t="str">
        <f>"11355-5045"</f>
        <v>11355-5045</v>
      </c>
      <c r="AB130" t="s">
        <v>208</v>
      </c>
      <c r="AC130" t="s">
        <v>112</v>
      </c>
      <c r="AD130" t="s">
        <v>107</v>
      </c>
      <c r="AE130" t="s">
        <v>113</v>
      </c>
      <c r="AG130" t="s">
        <v>114</v>
      </c>
    </row>
    <row r="131" spans="1:33" x14ac:dyDescent="0.25">
      <c r="A131" t="str">
        <f>"1265478432"</f>
        <v>1265478432</v>
      </c>
      <c r="B131" t="str">
        <f>"02998983"</f>
        <v>02998983</v>
      </c>
      <c r="C131" t="s">
        <v>679</v>
      </c>
      <c r="D131" t="s">
        <v>680</v>
      </c>
      <c r="E131" t="s">
        <v>681</v>
      </c>
      <c r="G131" t="s">
        <v>682</v>
      </c>
      <c r="H131" t="s">
        <v>683</v>
      </c>
      <c r="J131" t="s">
        <v>684</v>
      </c>
      <c r="L131" t="s">
        <v>685</v>
      </c>
      <c r="M131" t="s">
        <v>167</v>
      </c>
      <c r="R131" t="s">
        <v>686</v>
      </c>
      <c r="W131" t="s">
        <v>687</v>
      </c>
      <c r="X131" t="s">
        <v>693</v>
      </c>
      <c r="Y131" t="s">
        <v>225</v>
      </c>
      <c r="Z131" t="s">
        <v>110</v>
      </c>
      <c r="AA131" t="str">
        <f>"11355-5095"</f>
        <v>11355-5095</v>
      </c>
      <c r="AB131" t="s">
        <v>688</v>
      </c>
      <c r="AC131" t="s">
        <v>112</v>
      </c>
      <c r="AD131" t="s">
        <v>107</v>
      </c>
      <c r="AE131" t="s">
        <v>113</v>
      </c>
      <c r="AG131" t="s">
        <v>114</v>
      </c>
    </row>
    <row r="132" spans="1:33" x14ac:dyDescent="0.25">
      <c r="A132" t="str">
        <f>"1710339247"</f>
        <v>1710339247</v>
      </c>
      <c r="B132" t="str">
        <f>"03557513"</f>
        <v>03557513</v>
      </c>
      <c r="C132" t="s">
        <v>694</v>
      </c>
      <c r="D132" t="s">
        <v>695</v>
      </c>
      <c r="E132" t="s">
        <v>696</v>
      </c>
      <c r="G132" t="s">
        <v>195</v>
      </c>
      <c r="H132" t="s">
        <v>196</v>
      </c>
      <c r="J132" t="s">
        <v>197</v>
      </c>
      <c r="L132" t="s">
        <v>67</v>
      </c>
      <c r="M132" t="s">
        <v>107</v>
      </c>
      <c r="R132" t="s">
        <v>697</v>
      </c>
      <c r="W132" t="s">
        <v>696</v>
      </c>
      <c r="X132" t="s">
        <v>698</v>
      </c>
      <c r="Y132" t="s">
        <v>225</v>
      </c>
      <c r="Z132" t="s">
        <v>110</v>
      </c>
      <c r="AA132" t="str">
        <f>"11355"</f>
        <v>11355</v>
      </c>
      <c r="AB132" t="s">
        <v>172</v>
      </c>
      <c r="AC132" t="s">
        <v>112</v>
      </c>
      <c r="AD132" t="s">
        <v>107</v>
      </c>
      <c r="AE132" t="s">
        <v>113</v>
      </c>
      <c r="AG132" t="s">
        <v>114</v>
      </c>
    </row>
    <row r="133" spans="1:33" x14ac:dyDescent="0.25">
      <c r="A133" t="str">
        <f>"1396868436"</f>
        <v>1396868436</v>
      </c>
      <c r="C133" t="s">
        <v>694</v>
      </c>
      <c r="G133" t="s">
        <v>195</v>
      </c>
      <c r="H133" t="s">
        <v>196</v>
      </c>
      <c r="J133" t="s">
        <v>197</v>
      </c>
      <c r="K133" t="s">
        <v>276</v>
      </c>
      <c r="L133" t="s">
        <v>373</v>
      </c>
      <c r="M133" t="s">
        <v>107</v>
      </c>
      <c r="R133" t="s">
        <v>694</v>
      </c>
      <c r="S133" t="s">
        <v>311</v>
      </c>
      <c r="T133" t="s">
        <v>225</v>
      </c>
      <c r="U133" t="s">
        <v>110</v>
      </c>
      <c r="V133" t="str">
        <f>"113555045"</f>
        <v>113555045</v>
      </c>
      <c r="AC133" t="s">
        <v>112</v>
      </c>
      <c r="AD133" t="s">
        <v>107</v>
      </c>
      <c r="AE133" t="s">
        <v>278</v>
      </c>
      <c r="AG133" t="s">
        <v>114</v>
      </c>
    </row>
    <row r="134" spans="1:33" x14ac:dyDescent="0.25">
      <c r="A134" t="str">
        <f>"1932215209"</f>
        <v>1932215209</v>
      </c>
      <c r="B134" t="str">
        <f>"00309839"</f>
        <v>00309839</v>
      </c>
      <c r="C134" t="s">
        <v>699</v>
      </c>
      <c r="D134" t="s">
        <v>700</v>
      </c>
      <c r="E134" t="s">
        <v>701</v>
      </c>
      <c r="G134" t="s">
        <v>702</v>
      </c>
      <c r="H134" t="s">
        <v>703</v>
      </c>
      <c r="J134" t="s">
        <v>704</v>
      </c>
      <c r="L134" t="s">
        <v>405</v>
      </c>
      <c r="M134" t="s">
        <v>167</v>
      </c>
      <c r="R134" t="s">
        <v>705</v>
      </c>
      <c r="W134" t="s">
        <v>701</v>
      </c>
      <c r="X134" t="s">
        <v>706</v>
      </c>
      <c r="Y134" t="s">
        <v>707</v>
      </c>
      <c r="Z134" t="s">
        <v>110</v>
      </c>
      <c r="AA134" t="str">
        <f>"11357-3820"</f>
        <v>11357-3820</v>
      </c>
      <c r="AB134" t="s">
        <v>408</v>
      </c>
      <c r="AC134" t="s">
        <v>112</v>
      </c>
      <c r="AD134" t="s">
        <v>107</v>
      </c>
      <c r="AE134" t="s">
        <v>113</v>
      </c>
      <c r="AG134" t="s">
        <v>114</v>
      </c>
    </row>
    <row r="135" spans="1:33" x14ac:dyDescent="0.25">
      <c r="C135" t="s">
        <v>708</v>
      </c>
      <c r="G135" t="s">
        <v>212</v>
      </c>
      <c r="H135" t="s">
        <v>213</v>
      </c>
      <c r="J135" t="s">
        <v>709</v>
      </c>
      <c r="K135" t="s">
        <v>710</v>
      </c>
      <c r="L135" t="s">
        <v>711</v>
      </c>
      <c r="M135" t="s">
        <v>107</v>
      </c>
      <c r="N135" t="s">
        <v>712</v>
      </c>
      <c r="O135" t="s">
        <v>110</v>
      </c>
      <c r="P135" t="s">
        <v>110</v>
      </c>
      <c r="Q135" t="str">
        <f>"10010"</f>
        <v>10010</v>
      </c>
      <c r="AC135" t="s">
        <v>112</v>
      </c>
      <c r="AD135" t="s">
        <v>107</v>
      </c>
      <c r="AE135" t="s">
        <v>713</v>
      </c>
      <c r="AG135" t="s">
        <v>114</v>
      </c>
    </row>
    <row r="136" spans="1:33" x14ac:dyDescent="0.25">
      <c r="A136" t="str">
        <f>"1477785384"</f>
        <v>1477785384</v>
      </c>
      <c r="B136" t="str">
        <f>"03265029"</f>
        <v>03265029</v>
      </c>
      <c r="C136" t="s">
        <v>714</v>
      </c>
      <c r="D136" t="s">
        <v>715</v>
      </c>
      <c r="E136" t="s">
        <v>716</v>
      </c>
      <c r="G136" t="s">
        <v>717</v>
      </c>
      <c r="H136" t="s">
        <v>718</v>
      </c>
      <c r="J136" t="s">
        <v>719</v>
      </c>
      <c r="L136" t="s">
        <v>720</v>
      </c>
      <c r="M136" t="s">
        <v>107</v>
      </c>
      <c r="R136" t="s">
        <v>721</v>
      </c>
      <c r="W136" t="s">
        <v>716</v>
      </c>
      <c r="X136" t="s">
        <v>398</v>
      </c>
      <c r="Y136" t="s">
        <v>399</v>
      </c>
      <c r="Z136" t="s">
        <v>110</v>
      </c>
      <c r="AA136" t="str">
        <f>"11040-1436"</f>
        <v>11040-1436</v>
      </c>
      <c r="AB136" t="s">
        <v>191</v>
      </c>
      <c r="AC136" t="s">
        <v>112</v>
      </c>
      <c r="AD136" t="s">
        <v>107</v>
      </c>
      <c r="AE136" t="s">
        <v>113</v>
      </c>
      <c r="AG136" t="s">
        <v>114</v>
      </c>
    </row>
    <row r="137" spans="1:33" x14ac:dyDescent="0.25">
      <c r="A137" t="str">
        <f>"1154568707"</f>
        <v>1154568707</v>
      </c>
      <c r="B137" t="str">
        <f>"03249992"</f>
        <v>03249992</v>
      </c>
      <c r="C137" t="s">
        <v>722</v>
      </c>
      <c r="D137" t="s">
        <v>723</v>
      </c>
      <c r="E137" t="s">
        <v>724</v>
      </c>
      <c r="G137" t="s">
        <v>360</v>
      </c>
      <c r="H137" t="s">
        <v>361</v>
      </c>
      <c r="I137">
        <v>122</v>
      </c>
      <c r="J137" t="s">
        <v>362</v>
      </c>
      <c r="L137" t="s">
        <v>106</v>
      </c>
      <c r="M137" t="s">
        <v>107</v>
      </c>
      <c r="R137" t="s">
        <v>722</v>
      </c>
      <c r="W137" t="s">
        <v>724</v>
      </c>
      <c r="X137" t="s">
        <v>725</v>
      </c>
      <c r="Y137" t="s">
        <v>399</v>
      </c>
      <c r="Z137" t="s">
        <v>110</v>
      </c>
      <c r="AA137" t="str">
        <f>"11040-1402"</f>
        <v>11040-1402</v>
      </c>
      <c r="AB137" t="s">
        <v>172</v>
      </c>
      <c r="AC137" t="s">
        <v>112</v>
      </c>
      <c r="AD137" t="s">
        <v>107</v>
      </c>
      <c r="AE137" t="s">
        <v>113</v>
      </c>
      <c r="AG137" t="s">
        <v>114</v>
      </c>
    </row>
    <row r="138" spans="1:33" x14ac:dyDescent="0.25">
      <c r="A138" t="str">
        <f>"1790840494"</f>
        <v>1790840494</v>
      </c>
      <c r="C138" t="s">
        <v>726</v>
      </c>
      <c r="G138" t="s">
        <v>273</v>
      </c>
      <c r="H138" t="s">
        <v>274</v>
      </c>
      <c r="J138" t="s">
        <v>275</v>
      </c>
      <c r="K138" t="s">
        <v>276</v>
      </c>
      <c r="L138" t="s">
        <v>106</v>
      </c>
      <c r="M138" t="s">
        <v>107</v>
      </c>
      <c r="R138" t="s">
        <v>726</v>
      </c>
      <c r="S138" t="s">
        <v>727</v>
      </c>
      <c r="T138" t="s">
        <v>728</v>
      </c>
      <c r="U138" t="s">
        <v>110</v>
      </c>
      <c r="V138" t="str">
        <f>"113561574"</f>
        <v>113561574</v>
      </c>
      <c r="AC138" t="s">
        <v>112</v>
      </c>
      <c r="AD138" t="s">
        <v>107</v>
      </c>
      <c r="AE138" t="s">
        <v>278</v>
      </c>
      <c r="AG138" t="s">
        <v>114</v>
      </c>
    </row>
    <row r="139" spans="1:33" x14ac:dyDescent="0.25">
      <c r="A139" t="str">
        <f>"1841290723"</f>
        <v>1841290723</v>
      </c>
      <c r="B139" t="str">
        <f>"02463867"</f>
        <v>02463867</v>
      </c>
      <c r="C139" t="s">
        <v>729</v>
      </c>
      <c r="D139" t="s">
        <v>730</v>
      </c>
      <c r="E139" t="s">
        <v>731</v>
      </c>
      <c r="G139" t="s">
        <v>412</v>
      </c>
      <c r="H139" t="s">
        <v>413</v>
      </c>
      <c r="J139" t="s">
        <v>414</v>
      </c>
      <c r="L139" t="s">
        <v>166</v>
      </c>
      <c r="M139" t="s">
        <v>167</v>
      </c>
      <c r="R139" t="s">
        <v>729</v>
      </c>
      <c r="W139" t="s">
        <v>731</v>
      </c>
      <c r="X139" t="s">
        <v>732</v>
      </c>
      <c r="Y139" t="s">
        <v>356</v>
      </c>
      <c r="Z139" t="s">
        <v>110</v>
      </c>
      <c r="AA139" t="str">
        <f>"10701-4004"</f>
        <v>10701-4004</v>
      </c>
      <c r="AB139" t="s">
        <v>172</v>
      </c>
      <c r="AC139" t="s">
        <v>112</v>
      </c>
      <c r="AD139" t="s">
        <v>107</v>
      </c>
      <c r="AE139" t="s">
        <v>113</v>
      </c>
      <c r="AG139" t="s">
        <v>114</v>
      </c>
    </row>
    <row r="140" spans="1:33" x14ac:dyDescent="0.25">
      <c r="A140" t="str">
        <f>"1457533234"</f>
        <v>1457533234</v>
      </c>
      <c r="B140" t="str">
        <f>"03074926"</f>
        <v>03074926</v>
      </c>
      <c r="C140" t="s">
        <v>733</v>
      </c>
      <c r="D140" t="s">
        <v>734</v>
      </c>
      <c r="E140" t="s">
        <v>735</v>
      </c>
      <c r="G140" t="s">
        <v>736</v>
      </c>
      <c r="H140" t="s">
        <v>737</v>
      </c>
      <c r="I140">
        <v>1108</v>
      </c>
      <c r="J140" t="s">
        <v>738</v>
      </c>
      <c r="L140" t="s">
        <v>166</v>
      </c>
      <c r="M140" t="s">
        <v>167</v>
      </c>
      <c r="R140" t="s">
        <v>733</v>
      </c>
      <c r="W140" t="s">
        <v>735</v>
      </c>
      <c r="X140" t="s">
        <v>739</v>
      </c>
      <c r="Y140" t="s">
        <v>626</v>
      </c>
      <c r="Z140" t="s">
        <v>110</v>
      </c>
      <c r="AA140" t="str">
        <f>"11103-3875"</f>
        <v>11103-3875</v>
      </c>
      <c r="AB140" t="s">
        <v>172</v>
      </c>
      <c r="AC140" t="s">
        <v>112</v>
      </c>
      <c r="AD140" t="s">
        <v>107</v>
      </c>
      <c r="AE140" t="s">
        <v>113</v>
      </c>
      <c r="AG140" t="s">
        <v>114</v>
      </c>
    </row>
    <row r="141" spans="1:33" x14ac:dyDescent="0.25">
      <c r="A141" t="str">
        <f>"1659697787"</f>
        <v>1659697787</v>
      </c>
      <c r="C141" t="s">
        <v>740</v>
      </c>
      <c r="G141" t="s">
        <v>289</v>
      </c>
      <c r="H141" t="s">
        <v>290</v>
      </c>
      <c r="J141" t="s">
        <v>291</v>
      </c>
      <c r="K141" t="s">
        <v>276</v>
      </c>
      <c r="L141" t="s">
        <v>373</v>
      </c>
      <c r="M141" t="s">
        <v>107</v>
      </c>
      <c r="R141" t="s">
        <v>740</v>
      </c>
      <c r="S141" t="s">
        <v>741</v>
      </c>
      <c r="T141" t="s">
        <v>422</v>
      </c>
      <c r="U141" t="s">
        <v>110</v>
      </c>
      <c r="V141" t="str">
        <f>"11432"</f>
        <v>11432</v>
      </c>
      <c r="AC141" t="s">
        <v>112</v>
      </c>
      <c r="AD141" t="s">
        <v>107</v>
      </c>
      <c r="AE141" t="s">
        <v>278</v>
      </c>
      <c r="AG141" t="s">
        <v>114</v>
      </c>
    </row>
    <row r="142" spans="1:33" x14ac:dyDescent="0.25">
      <c r="A142" t="str">
        <f>"1538499330"</f>
        <v>1538499330</v>
      </c>
      <c r="C142" t="s">
        <v>742</v>
      </c>
      <c r="G142" t="s">
        <v>289</v>
      </c>
      <c r="H142" t="s">
        <v>290</v>
      </c>
      <c r="J142" t="s">
        <v>291</v>
      </c>
      <c r="K142" t="s">
        <v>276</v>
      </c>
      <c r="L142" t="s">
        <v>373</v>
      </c>
      <c r="M142" t="s">
        <v>107</v>
      </c>
      <c r="R142" t="s">
        <v>742</v>
      </c>
      <c r="S142" t="s">
        <v>743</v>
      </c>
      <c r="T142" t="s">
        <v>325</v>
      </c>
      <c r="U142" t="s">
        <v>110</v>
      </c>
      <c r="V142" t="str">
        <f>"10128"</f>
        <v>10128</v>
      </c>
      <c r="AC142" t="s">
        <v>112</v>
      </c>
      <c r="AD142" t="s">
        <v>107</v>
      </c>
      <c r="AE142" t="s">
        <v>278</v>
      </c>
      <c r="AG142" t="s">
        <v>114</v>
      </c>
    </row>
    <row r="143" spans="1:33" x14ac:dyDescent="0.25">
      <c r="A143" t="str">
        <f>"1205151081"</f>
        <v>1205151081</v>
      </c>
      <c r="C143" t="s">
        <v>744</v>
      </c>
      <c r="G143" t="s">
        <v>289</v>
      </c>
      <c r="H143" t="s">
        <v>290</v>
      </c>
      <c r="J143" t="s">
        <v>291</v>
      </c>
      <c r="K143" t="s">
        <v>276</v>
      </c>
      <c r="L143" t="s">
        <v>373</v>
      </c>
      <c r="M143" t="s">
        <v>107</v>
      </c>
      <c r="R143" t="s">
        <v>744</v>
      </c>
      <c r="S143" t="s">
        <v>745</v>
      </c>
      <c r="T143" t="s">
        <v>481</v>
      </c>
      <c r="U143" t="s">
        <v>110</v>
      </c>
      <c r="V143" t="str">
        <f>"114272128"</f>
        <v>114272128</v>
      </c>
      <c r="AC143" t="s">
        <v>112</v>
      </c>
      <c r="AD143" t="s">
        <v>107</v>
      </c>
      <c r="AE143" t="s">
        <v>278</v>
      </c>
      <c r="AG143" t="s">
        <v>114</v>
      </c>
    </row>
    <row r="144" spans="1:33" x14ac:dyDescent="0.25">
      <c r="A144" t="str">
        <f>"1093058273"</f>
        <v>1093058273</v>
      </c>
      <c r="B144" t="str">
        <f>"04492357"</f>
        <v>04492357</v>
      </c>
      <c r="C144" t="s">
        <v>746</v>
      </c>
      <c r="D144" t="s">
        <v>747</v>
      </c>
      <c r="E144" t="s">
        <v>746</v>
      </c>
      <c r="G144" t="s">
        <v>289</v>
      </c>
      <c r="H144" t="s">
        <v>290</v>
      </c>
      <c r="J144" t="s">
        <v>291</v>
      </c>
      <c r="L144" t="s">
        <v>106</v>
      </c>
      <c r="M144" t="s">
        <v>107</v>
      </c>
      <c r="R144" t="s">
        <v>746</v>
      </c>
      <c r="W144" t="s">
        <v>746</v>
      </c>
      <c r="AB144" t="s">
        <v>172</v>
      </c>
      <c r="AC144" t="s">
        <v>112</v>
      </c>
      <c r="AD144" t="s">
        <v>107</v>
      </c>
      <c r="AE144" t="s">
        <v>113</v>
      </c>
      <c r="AG144" t="s">
        <v>114</v>
      </c>
    </row>
    <row r="145" spans="1:33" x14ac:dyDescent="0.25">
      <c r="A145" t="str">
        <f>"1912976747"</f>
        <v>1912976747</v>
      </c>
      <c r="C145" t="s">
        <v>748</v>
      </c>
      <c r="G145" t="s">
        <v>289</v>
      </c>
      <c r="H145" t="s">
        <v>290</v>
      </c>
      <c r="J145" t="s">
        <v>291</v>
      </c>
      <c r="K145" t="s">
        <v>749</v>
      </c>
      <c r="L145" t="s">
        <v>373</v>
      </c>
      <c r="M145" t="s">
        <v>107</v>
      </c>
      <c r="R145" t="s">
        <v>748</v>
      </c>
      <c r="S145" t="s">
        <v>750</v>
      </c>
      <c r="T145" t="s">
        <v>325</v>
      </c>
      <c r="U145" t="s">
        <v>110</v>
      </c>
      <c r="V145" t="str">
        <f>"10016"</f>
        <v>10016</v>
      </c>
      <c r="AC145" t="s">
        <v>112</v>
      </c>
      <c r="AD145" t="s">
        <v>107</v>
      </c>
      <c r="AE145" t="s">
        <v>278</v>
      </c>
      <c r="AG145" t="s">
        <v>114</v>
      </c>
    </row>
    <row r="146" spans="1:33" x14ac:dyDescent="0.25">
      <c r="A146" t="str">
        <f>"1851584510"</f>
        <v>1851584510</v>
      </c>
      <c r="C146" t="s">
        <v>751</v>
      </c>
      <c r="G146" t="s">
        <v>289</v>
      </c>
      <c r="H146" t="s">
        <v>290</v>
      </c>
      <c r="J146" t="s">
        <v>291</v>
      </c>
      <c r="K146" t="s">
        <v>749</v>
      </c>
      <c r="L146" t="s">
        <v>373</v>
      </c>
      <c r="M146" t="s">
        <v>107</v>
      </c>
      <c r="R146" t="s">
        <v>751</v>
      </c>
      <c r="S146" t="s">
        <v>752</v>
      </c>
      <c r="T146" t="s">
        <v>126</v>
      </c>
      <c r="U146" t="s">
        <v>110</v>
      </c>
      <c r="V146" t="str">
        <f>"113621150"</f>
        <v>113621150</v>
      </c>
      <c r="AC146" t="s">
        <v>112</v>
      </c>
      <c r="AD146" t="s">
        <v>107</v>
      </c>
      <c r="AE146" t="s">
        <v>278</v>
      </c>
      <c r="AG146" t="s">
        <v>114</v>
      </c>
    </row>
    <row r="147" spans="1:33" x14ac:dyDescent="0.25">
      <c r="A147" t="str">
        <f>"1679825715"</f>
        <v>1679825715</v>
      </c>
      <c r="B147" t="str">
        <f>"03502581"</f>
        <v>03502581</v>
      </c>
      <c r="C147" t="s">
        <v>753</v>
      </c>
      <c r="D147" t="s">
        <v>754</v>
      </c>
      <c r="E147" t="s">
        <v>755</v>
      </c>
      <c r="G147" t="s">
        <v>176</v>
      </c>
      <c r="H147" t="s">
        <v>177</v>
      </c>
      <c r="I147">
        <v>3264</v>
      </c>
      <c r="J147" t="s">
        <v>178</v>
      </c>
      <c r="L147" t="s">
        <v>117</v>
      </c>
      <c r="M147" t="s">
        <v>107</v>
      </c>
      <c r="R147" t="s">
        <v>753</v>
      </c>
      <c r="W147" t="s">
        <v>755</v>
      </c>
      <c r="X147" t="s">
        <v>259</v>
      </c>
      <c r="Y147" t="s">
        <v>183</v>
      </c>
      <c r="Z147" t="s">
        <v>110</v>
      </c>
      <c r="AA147" t="str">
        <f>"10452-2001"</f>
        <v>10452-2001</v>
      </c>
      <c r="AB147" t="s">
        <v>111</v>
      </c>
      <c r="AC147" t="s">
        <v>112</v>
      </c>
      <c r="AD147" t="s">
        <v>107</v>
      </c>
      <c r="AE147" t="s">
        <v>113</v>
      </c>
      <c r="AG147" t="s">
        <v>114</v>
      </c>
    </row>
    <row r="148" spans="1:33" x14ac:dyDescent="0.25">
      <c r="A148" t="str">
        <f>"1033202692"</f>
        <v>1033202692</v>
      </c>
      <c r="B148" t="str">
        <f>"01668024"</f>
        <v>01668024</v>
      </c>
      <c r="C148" t="s">
        <v>756</v>
      </c>
      <c r="D148" t="s">
        <v>757</v>
      </c>
      <c r="E148" t="s">
        <v>758</v>
      </c>
      <c r="G148" t="s">
        <v>402</v>
      </c>
      <c r="H148" t="s">
        <v>403</v>
      </c>
      <c r="J148" t="s">
        <v>404</v>
      </c>
      <c r="L148" t="s">
        <v>166</v>
      </c>
      <c r="M148" t="s">
        <v>107</v>
      </c>
      <c r="R148" t="s">
        <v>756</v>
      </c>
      <c r="W148" t="s">
        <v>758</v>
      </c>
      <c r="X148" t="s">
        <v>759</v>
      </c>
      <c r="Y148" t="s">
        <v>207</v>
      </c>
      <c r="Z148" t="s">
        <v>110</v>
      </c>
      <c r="AA148" t="str">
        <f>"11375-4814"</f>
        <v>11375-4814</v>
      </c>
      <c r="AB148" t="s">
        <v>172</v>
      </c>
      <c r="AC148" t="s">
        <v>112</v>
      </c>
      <c r="AD148" t="s">
        <v>107</v>
      </c>
      <c r="AE148" t="s">
        <v>113</v>
      </c>
      <c r="AG148" t="s">
        <v>114</v>
      </c>
    </row>
    <row r="149" spans="1:33" x14ac:dyDescent="0.25">
      <c r="A149" t="str">
        <f>"1992901813"</f>
        <v>1992901813</v>
      </c>
      <c r="B149" t="str">
        <f>"03472162"</f>
        <v>03472162</v>
      </c>
      <c r="C149" t="s">
        <v>760</v>
      </c>
      <c r="D149" t="s">
        <v>761</v>
      </c>
      <c r="E149" t="s">
        <v>760</v>
      </c>
      <c r="G149" t="s">
        <v>176</v>
      </c>
      <c r="H149" t="s">
        <v>177</v>
      </c>
      <c r="I149">
        <v>3264</v>
      </c>
      <c r="J149" t="s">
        <v>178</v>
      </c>
      <c r="L149" t="s">
        <v>117</v>
      </c>
      <c r="M149" t="s">
        <v>107</v>
      </c>
      <c r="R149" t="s">
        <v>760</v>
      </c>
      <c r="W149" t="s">
        <v>762</v>
      </c>
      <c r="X149" t="s">
        <v>556</v>
      </c>
      <c r="Y149" t="s">
        <v>183</v>
      </c>
      <c r="Z149" t="s">
        <v>110</v>
      </c>
      <c r="AA149" t="str">
        <f>"10452-2001"</f>
        <v>10452-2001</v>
      </c>
      <c r="AB149" t="s">
        <v>111</v>
      </c>
      <c r="AC149" t="s">
        <v>112</v>
      </c>
      <c r="AD149" t="s">
        <v>107</v>
      </c>
      <c r="AE149" t="s">
        <v>113</v>
      </c>
      <c r="AG149" t="s">
        <v>114</v>
      </c>
    </row>
    <row r="150" spans="1:33" x14ac:dyDescent="0.25">
      <c r="A150" t="str">
        <f>"1720019144"</f>
        <v>1720019144</v>
      </c>
      <c r="B150" t="str">
        <f>"02407638"</f>
        <v>02407638</v>
      </c>
      <c r="C150" t="s">
        <v>763</v>
      </c>
      <c r="D150" t="s">
        <v>764</v>
      </c>
      <c r="E150" t="s">
        <v>765</v>
      </c>
      <c r="G150" t="s">
        <v>766</v>
      </c>
      <c r="H150" t="s">
        <v>767</v>
      </c>
      <c r="J150" t="s">
        <v>768</v>
      </c>
      <c r="L150" t="s">
        <v>67</v>
      </c>
      <c r="M150" t="s">
        <v>167</v>
      </c>
      <c r="R150" t="s">
        <v>769</v>
      </c>
      <c r="W150" t="s">
        <v>765</v>
      </c>
      <c r="X150" t="s">
        <v>770</v>
      </c>
      <c r="Y150" t="s">
        <v>325</v>
      </c>
      <c r="Z150" t="s">
        <v>110</v>
      </c>
      <c r="AA150" t="str">
        <f>"10001-1629"</f>
        <v>10001-1629</v>
      </c>
      <c r="AB150" t="s">
        <v>546</v>
      </c>
      <c r="AC150" t="s">
        <v>112</v>
      </c>
      <c r="AD150" t="s">
        <v>107</v>
      </c>
      <c r="AE150" t="s">
        <v>113</v>
      </c>
      <c r="AG150" t="s">
        <v>114</v>
      </c>
    </row>
    <row r="151" spans="1:33" x14ac:dyDescent="0.25">
      <c r="A151" t="str">
        <f>"1649598731"</f>
        <v>1649598731</v>
      </c>
      <c r="B151" t="str">
        <f>"03648120"</f>
        <v>03648120</v>
      </c>
      <c r="C151" t="s">
        <v>771</v>
      </c>
      <c r="D151" t="s">
        <v>772</v>
      </c>
      <c r="E151" t="s">
        <v>771</v>
      </c>
      <c r="G151" t="s">
        <v>212</v>
      </c>
      <c r="H151" t="s">
        <v>213</v>
      </c>
      <c r="J151" t="s">
        <v>214</v>
      </c>
      <c r="L151" t="s">
        <v>166</v>
      </c>
      <c r="M151" t="s">
        <v>167</v>
      </c>
      <c r="R151" t="s">
        <v>771</v>
      </c>
      <c r="W151" t="s">
        <v>771</v>
      </c>
      <c r="X151" t="s">
        <v>286</v>
      </c>
      <c r="Y151" t="s">
        <v>183</v>
      </c>
      <c r="Z151" t="s">
        <v>110</v>
      </c>
      <c r="AA151" t="str">
        <f>"10459-3204"</f>
        <v>10459-3204</v>
      </c>
      <c r="AB151" t="s">
        <v>172</v>
      </c>
      <c r="AC151" t="s">
        <v>112</v>
      </c>
      <c r="AD151" t="s">
        <v>107</v>
      </c>
      <c r="AE151" t="s">
        <v>113</v>
      </c>
      <c r="AG151" t="s">
        <v>114</v>
      </c>
    </row>
    <row r="152" spans="1:33" x14ac:dyDescent="0.25">
      <c r="A152" t="str">
        <f>"1376849521"</f>
        <v>1376849521</v>
      </c>
      <c r="B152" t="str">
        <f>"03306723"</f>
        <v>03306723</v>
      </c>
      <c r="C152" t="s">
        <v>773</v>
      </c>
      <c r="D152" t="s">
        <v>774</v>
      </c>
      <c r="E152" t="s">
        <v>775</v>
      </c>
      <c r="G152" t="s">
        <v>412</v>
      </c>
      <c r="H152" t="s">
        <v>413</v>
      </c>
      <c r="J152" t="s">
        <v>414</v>
      </c>
      <c r="L152" t="s">
        <v>106</v>
      </c>
      <c r="M152" t="s">
        <v>167</v>
      </c>
      <c r="R152" t="s">
        <v>773</v>
      </c>
      <c r="W152" t="s">
        <v>775</v>
      </c>
      <c r="X152" t="s">
        <v>776</v>
      </c>
      <c r="Y152" t="s">
        <v>777</v>
      </c>
      <c r="Z152" t="s">
        <v>110</v>
      </c>
      <c r="AA152" t="str">
        <f>"12110-2454"</f>
        <v>12110-2454</v>
      </c>
      <c r="AB152" t="s">
        <v>172</v>
      </c>
      <c r="AC152" t="s">
        <v>112</v>
      </c>
      <c r="AD152" t="s">
        <v>107</v>
      </c>
      <c r="AE152" t="s">
        <v>113</v>
      </c>
      <c r="AG152" t="s">
        <v>114</v>
      </c>
    </row>
    <row r="153" spans="1:33" x14ac:dyDescent="0.25">
      <c r="A153" t="str">
        <f>"1417225152"</f>
        <v>1417225152</v>
      </c>
      <c r="B153" t="str">
        <f>"04342494"</f>
        <v>04342494</v>
      </c>
      <c r="C153" t="s">
        <v>778</v>
      </c>
      <c r="D153" t="s">
        <v>779</v>
      </c>
      <c r="E153" t="s">
        <v>778</v>
      </c>
      <c r="G153" t="s">
        <v>289</v>
      </c>
      <c r="H153" t="s">
        <v>290</v>
      </c>
      <c r="J153" t="s">
        <v>291</v>
      </c>
      <c r="L153" t="s">
        <v>373</v>
      </c>
      <c r="M153" t="s">
        <v>107</v>
      </c>
      <c r="R153" t="s">
        <v>778</v>
      </c>
      <c r="W153" t="s">
        <v>778</v>
      </c>
      <c r="X153" t="s">
        <v>780</v>
      </c>
      <c r="Y153" t="s">
        <v>325</v>
      </c>
      <c r="Z153" t="s">
        <v>110</v>
      </c>
      <c r="AA153" t="str">
        <f>"10003-3851"</f>
        <v>10003-3851</v>
      </c>
      <c r="AB153" t="s">
        <v>172</v>
      </c>
      <c r="AC153" t="s">
        <v>112</v>
      </c>
      <c r="AD153" t="s">
        <v>107</v>
      </c>
      <c r="AE153" t="s">
        <v>113</v>
      </c>
      <c r="AG153" t="s">
        <v>114</v>
      </c>
    </row>
    <row r="154" spans="1:33" x14ac:dyDescent="0.25">
      <c r="A154" t="str">
        <f>"1871926550"</f>
        <v>1871926550</v>
      </c>
      <c r="C154" t="s">
        <v>781</v>
      </c>
      <c r="G154" t="s">
        <v>289</v>
      </c>
      <c r="H154" t="s">
        <v>290</v>
      </c>
      <c r="J154" t="s">
        <v>291</v>
      </c>
      <c r="K154" t="s">
        <v>749</v>
      </c>
      <c r="L154" t="s">
        <v>373</v>
      </c>
      <c r="M154" t="s">
        <v>107</v>
      </c>
      <c r="R154" t="s">
        <v>781</v>
      </c>
      <c r="S154" t="s">
        <v>782</v>
      </c>
      <c r="T154" t="s">
        <v>783</v>
      </c>
      <c r="U154" t="s">
        <v>110</v>
      </c>
      <c r="V154" t="str">
        <f>"110011044"</f>
        <v>110011044</v>
      </c>
      <c r="AC154" t="s">
        <v>112</v>
      </c>
      <c r="AD154" t="s">
        <v>107</v>
      </c>
      <c r="AE154" t="s">
        <v>278</v>
      </c>
      <c r="AG154" t="s">
        <v>114</v>
      </c>
    </row>
    <row r="155" spans="1:33" x14ac:dyDescent="0.25">
      <c r="A155" t="str">
        <f>"1326392721"</f>
        <v>1326392721</v>
      </c>
      <c r="B155" t="str">
        <f>"04528805"</f>
        <v>04528805</v>
      </c>
      <c r="C155" t="s">
        <v>784</v>
      </c>
      <c r="D155" t="s">
        <v>785</v>
      </c>
      <c r="E155" t="s">
        <v>786</v>
      </c>
      <c r="G155" t="s">
        <v>289</v>
      </c>
      <c r="H155" t="s">
        <v>290</v>
      </c>
      <c r="J155" t="s">
        <v>291</v>
      </c>
      <c r="L155" t="s">
        <v>373</v>
      </c>
      <c r="M155" t="s">
        <v>107</v>
      </c>
      <c r="R155" t="s">
        <v>784</v>
      </c>
      <c r="W155" t="s">
        <v>786</v>
      </c>
      <c r="AB155" t="s">
        <v>172</v>
      </c>
      <c r="AC155" t="s">
        <v>112</v>
      </c>
      <c r="AD155" t="s">
        <v>107</v>
      </c>
      <c r="AE155" t="s">
        <v>113</v>
      </c>
      <c r="AG155" t="s">
        <v>114</v>
      </c>
    </row>
    <row r="156" spans="1:33" x14ac:dyDescent="0.25">
      <c r="A156" t="str">
        <f>"1508110990"</f>
        <v>1508110990</v>
      </c>
      <c r="C156" t="s">
        <v>787</v>
      </c>
      <c r="G156" t="s">
        <v>289</v>
      </c>
      <c r="H156" t="s">
        <v>290</v>
      </c>
      <c r="J156" t="s">
        <v>291</v>
      </c>
      <c r="K156" t="s">
        <v>749</v>
      </c>
      <c r="L156" t="s">
        <v>373</v>
      </c>
      <c r="M156" t="s">
        <v>107</v>
      </c>
      <c r="R156" t="s">
        <v>787</v>
      </c>
      <c r="S156" t="s">
        <v>619</v>
      </c>
      <c r="T156" t="s">
        <v>481</v>
      </c>
      <c r="U156" t="s">
        <v>110</v>
      </c>
      <c r="V156" t="str">
        <f>"114272128"</f>
        <v>114272128</v>
      </c>
      <c r="AC156" t="s">
        <v>112</v>
      </c>
      <c r="AD156" t="s">
        <v>107</v>
      </c>
      <c r="AE156" t="s">
        <v>278</v>
      </c>
      <c r="AG156" t="s">
        <v>114</v>
      </c>
    </row>
    <row r="157" spans="1:33" x14ac:dyDescent="0.25">
      <c r="A157" t="str">
        <f>"1053752378"</f>
        <v>1053752378</v>
      </c>
      <c r="C157" t="s">
        <v>788</v>
      </c>
      <c r="G157" t="s">
        <v>289</v>
      </c>
      <c r="H157" t="s">
        <v>290</v>
      </c>
      <c r="J157" t="s">
        <v>291</v>
      </c>
      <c r="K157" t="s">
        <v>749</v>
      </c>
      <c r="L157" t="s">
        <v>373</v>
      </c>
      <c r="M157" t="s">
        <v>107</v>
      </c>
      <c r="R157" t="s">
        <v>788</v>
      </c>
      <c r="S157" t="s">
        <v>789</v>
      </c>
      <c r="T157" t="s">
        <v>790</v>
      </c>
      <c r="U157" t="s">
        <v>110</v>
      </c>
      <c r="V157" t="str">
        <f>"110041641"</f>
        <v>110041641</v>
      </c>
      <c r="AC157" t="s">
        <v>112</v>
      </c>
      <c r="AD157" t="s">
        <v>107</v>
      </c>
      <c r="AE157" t="s">
        <v>278</v>
      </c>
      <c r="AG157" t="s">
        <v>114</v>
      </c>
    </row>
    <row r="158" spans="1:33" x14ac:dyDescent="0.25">
      <c r="A158" t="str">
        <f>"1467893875"</f>
        <v>1467893875</v>
      </c>
      <c r="C158" t="s">
        <v>791</v>
      </c>
      <c r="G158" t="s">
        <v>289</v>
      </c>
      <c r="H158" t="s">
        <v>290</v>
      </c>
      <c r="J158" t="s">
        <v>291</v>
      </c>
      <c r="K158" t="s">
        <v>749</v>
      </c>
      <c r="L158" t="s">
        <v>373</v>
      </c>
      <c r="M158" t="s">
        <v>107</v>
      </c>
      <c r="R158" t="s">
        <v>791</v>
      </c>
      <c r="S158" t="s">
        <v>619</v>
      </c>
      <c r="T158" t="s">
        <v>481</v>
      </c>
      <c r="U158" t="s">
        <v>110</v>
      </c>
      <c r="V158" t="str">
        <f>"114272128"</f>
        <v>114272128</v>
      </c>
      <c r="AC158" t="s">
        <v>112</v>
      </c>
      <c r="AD158" t="s">
        <v>107</v>
      </c>
      <c r="AE158" t="s">
        <v>278</v>
      </c>
      <c r="AG158" t="s">
        <v>114</v>
      </c>
    </row>
    <row r="159" spans="1:33" x14ac:dyDescent="0.25">
      <c r="A159" t="str">
        <f>"1235415126"</f>
        <v>1235415126</v>
      </c>
      <c r="C159" t="s">
        <v>792</v>
      </c>
      <c r="G159" t="s">
        <v>289</v>
      </c>
      <c r="H159" t="s">
        <v>290</v>
      </c>
      <c r="J159" t="s">
        <v>291</v>
      </c>
      <c r="K159" t="s">
        <v>749</v>
      </c>
      <c r="L159" t="s">
        <v>373</v>
      </c>
      <c r="M159" t="s">
        <v>107</v>
      </c>
      <c r="R159" t="s">
        <v>792</v>
      </c>
      <c r="S159" t="s">
        <v>619</v>
      </c>
      <c r="T159" t="s">
        <v>481</v>
      </c>
      <c r="U159" t="s">
        <v>110</v>
      </c>
      <c r="V159" t="str">
        <f>"114272128"</f>
        <v>114272128</v>
      </c>
      <c r="AC159" t="s">
        <v>112</v>
      </c>
      <c r="AD159" t="s">
        <v>107</v>
      </c>
      <c r="AE159" t="s">
        <v>278</v>
      </c>
      <c r="AG159" t="s">
        <v>114</v>
      </c>
    </row>
    <row r="160" spans="1:33" x14ac:dyDescent="0.25">
      <c r="A160" t="str">
        <f>"1285067769"</f>
        <v>1285067769</v>
      </c>
      <c r="C160" t="s">
        <v>793</v>
      </c>
      <c r="G160" t="s">
        <v>289</v>
      </c>
      <c r="H160" t="s">
        <v>290</v>
      </c>
      <c r="J160" t="s">
        <v>291</v>
      </c>
      <c r="K160" t="s">
        <v>749</v>
      </c>
      <c r="L160" t="s">
        <v>373</v>
      </c>
      <c r="M160" t="s">
        <v>107</v>
      </c>
      <c r="R160" t="s">
        <v>793</v>
      </c>
      <c r="S160" t="s">
        <v>794</v>
      </c>
      <c r="T160" t="s">
        <v>240</v>
      </c>
      <c r="U160" t="s">
        <v>110</v>
      </c>
      <c r="V160" t="str">
        <f>"112018219"</f>
        <v>112018219</v>
      </c>
      <c r="AC160" t="s">
        <v>112</v>
      </c>
      <c r="AD160" t="s">
        <v>107</v>
      </c>
      <c r="AE160" t="s">
        <v>278</v>
      </c>
      <c r="AG160" t="s">
        <v>114</v>
      </c>
    </row>
    <row r="161" spans="1:35" x14ac:dyDescent="0.25">
      <c r="A161" t="str">
        <f>"1003030644"</f>
        <v>1003030644</v>
      </c>
      <c r="B161" t="str">
        <f>"01756972"</f>
        <v>01756972</v>
      </c>
      <c r="C161" t="s">
        <v>795</v>
      </c>
      <c r="D161" t="s">
        <v>796</v>
      </c>
      <c r="E161" t="s">
        <v>797</v>
      </c>
      <c r="G161" t="s">
        <v>798</v>
      </c>
      <c r="H161" t="s">
        <v>799</v>
      </c>
      <c r="J161" t="s">
        <v>800</v>
      </c>
      <c r="L161" t="s">
        <v>801</v>
      </c>
      <c r="M161" t="s">
        <v>167</v>
      </c>
      <c r="R161" t="s">
        <v>795</v>
      </c>
      <c r="W161" t="s">
        <v>797</v>
      </c>
      <c r="X161" t="s">
        <v>802</v>
      </c>
      <c r="Y161" t="s">
        <v>422</v>
      </c>
      <c r="Z161" t="s">
        <v>110</v>
      </c>
      <c r="AA161" t="str">
        <f>"11435-3330"</f>
        <v>11435-3330</v>
      </c>
      <c r="AB161" t="s">
        <v>191</v>
      </c>
      <c r="AC161" t="s">
        <v>112</v>
      </c>
      <c r="AD161" t="s">
        <v>107</v>
      </c>
      <c r="AE161" t="s">
        <v>113</v>
      </c>
      <c r="AG161" t="s">
        <v>114</v>
      </c>
    </row>
    <row r="162" spans="1:35" x14ac:dyDescent="0.25">
      <c r="A162" t="str">
        <f>"1962594812"</f>
        <v>1962594812</v>
      </c>
      <c r="B162" t="str">
        <f>"01846006"</f>
        <v>01846006</v>
      </c>
      <c r="C162" t="s">
        <v>803</v>
      </c>
      <c r="D162" t="s">
        <v>804</v>
      </c>
      <c r="E162" t="s">
        <v>805</v>
      </c>
      <c r="G162" t="s">
        <v>806</v>
      </c>
      <c r="H162" t="s">
        <v>309</v>
      </c>
      <c r="J162" t="s">
        <v>310</v>
      </c>
      <c r="L162" t="s">
        <v>166</v>
      </c>
      <c r="M162" t="s">
        <v>167</v>
      </c>
      <c r="R162" t="s">
        <v>803</v>
      </c>
      <c r="W162" t="s">
        <v>807</v>
      </c>
      <c r="X162" t="s">
        <v>808</v>
      </c>
      <c r="Y162" t="s">
        <v>422</v>
      </c>
      <c r="Z162" t="s">
        <v>110</v>
      </c>
      <c r="AA162" t="str">
        <f>"11432-2744"</f>
        <v>11432-2744</v>
      </c>
      <c r="AB162" t="s">
        <v>172</v>
      </c>
      <c r="AC162" t="s">
        <v>112</v>
      </c>
      <c r="AD162" t="s">
        <v>107</v>
      </c>
      <c r="AE162" t="s">
        <v>113</v>
      </c>
      <c r="AG162" t="s">
        <v>114</v>
      </c>
    </row>
    <row r="163" spans="1:35" x14ac:dyDescent="0.25">
      <c r="A163" t="str">
        <f>"1225255888"</f>
        <v>1225255888</v>
      </c>
      <c r="B163" t="str">
        <f>"02199773"</f>
        <v>02199773</v>
      </c>
      <c r="C163" t="s">
        <v>809</v>
      </c>
      <c r="D163" t="s">
        <v>810</v>
      </c>
      <c r="E163" t="s">
        <v>811</v>
      </c>
      <c r="G163" t="s">
        <v>812</v>
      </c>
      <c r="H163" t="s">
        <v>813</v>
      </c>
      <c r="L163" t="s">
        <v>801</v>
      </c>
      <c r="M163" t="s">
        <v>167</v>
      </c>
      <c r="R163" t="s">
        <v>809</v>
      </c>
      <c r="W163" t="s">
        <v>811</v>
      </c>
      <c r="X163" t="s">
        <v>814</v>
      </c>
      <c r="Y163" t="s">
        <v>325</v>
      </c>
      <c r="Z163" t="s">
        <v>110</v>
      </c>
      <c r="AA163" t="str">
        <f>"10019"</f>
        <v>10019</v>
      </c>
      <c r="AB163" t="s">
        <v>688</v>
      </c>
      <c r="AC163" t="s">
        <v>112</v>
      </c>
      <c r="AD163" t="s">
        <v>107</v>
      </c>
      <c r="AE163" t="s">
        <v>113</v>
      </c>
      <c r="AG163" t="s">
        <v>114</v>
      </c>
      <c r="AI163" t="s">
        <v>815</v>
      </c>
    </row>
    <row r="164" spans="1:35" x14ac:dyDescent="0.25">
      <c r="A164" t="str">
        <f>"1497971741"</f>
        <v>1497971741</v>
      </c>
      <c r="B164" t="str">
        <f>"01528707"</f>
        <v>01528707</v>
      </c>
      <c r="C164" t="s">
        <v>816</v>
      </c>
      <c r="D164" t="s">
        <v>817</v>
      </c>
      <c r="E164" t="s">
        <v>818</v>
      </c>
      <c r="G164" t="s">
        <v>819</v>
      </c>
      <c r="H164" t="s">
        <v>820</v>
      </c>
      <c r="J164" t="s">
        <v>821</v>
      </c>
      <c r="L164" t="s">
        <v>822</v>
      </c>
      <c r="M164" t="s">
        <v>167</v>
      </c>
      <c r="R164" t="s">
        <v>816</v>
      </c>
      <c r="W164" t="s">
        <v>818</v>
      </c>
      <c r="X164" t="s">
        <v>823</v>
      </c>
      <c r="Y164" t="s">
        <v>240</v>
      </c>
      <c r="Z164" t="s">
        <v>110</v>
      </c>
      <c r="AA164" t="str">
        <f>"11236-2330"</f>
        <v>11236-2330</v>
      </c>
      <c r="AB164" t="s">
        <v>191</v>
      </c>
      <c r="AC164" t="s">
        <v>112</v>
      </c>
      <c r="AD164" t="s">
        <v>107</v>
      </c>
      <c r="AE164" t="s">
        <v>113</v>
      </c>
      <c r="AG164" t="s">
        <v>114</v>
      </c>
    </row>
    <row r="165" spans="1:35" x14ac:dyDescent="0.25">
      <c r="A165" t="str">
        <f>"1740334879"</f>
        <v>1740334879</v>
      </c>
      <c r="B165" t="str">
        <f>"01128629"</f>
        <v>01128629</v>
      </c>
      <c r="C165" t="s">
        <v>824</v>
      </c>
      <c r="D165" t="s">
        <v>825</v>
      </c>
      <c r="E165" t="s">
        <v>826</v>
      </c>
      <c r="G165" t="s">
        <v>827</v>
      </c>
      <c r="H165" t="s">
        <v>828</v>
      </c>
      <c r="J165" t="s">
        <v>829</v>
      </c>
      <c r="L165" t="s">
        <v>67</v>
      </c>
      <c r="M165" t="s">
        <v>107</v>
      </c>
      <c r="R165" t="s">
        <v>824</v>
      </c>
      <c r="W165" t="s">
        <v>826</v>
      </c>
      <c r="X165" t="s">
        <v>830</v>
      </c>
      <c r="Y165" t="s">
        <v>831</v>
      </c>
      <c r="Z165" t="s">
        <v>110</v>
      </c>
      <c r="AA165" t="str">
        <f>"11416-2205"</f>
        <v>11416-2205</v>
      </c>
      <c r="AB165" t="s">
        <v>408</v>
      </c>
      <c r="AC165" t="s">
        <v>112</v>
      </c>
      <c r="AD165" t="s">
        <v>107</v>
      </c>
      <c r="AE165" t="s">
        <v>113</v>
      </c>
      <c r="AG165" t="s">
        <v>114</v>
      </c>
    </row>
    <row r="166" spans="1:35" x14ac:dyDescent="0.25">
      <c r="A166" t="str">
        <f>"1407999634"</f>
        <v>1407999634</v>
      </c>
      <c r="B166" t="str">
        <f>"01128830"</f>
        <v>01128830</v>
      </c>
      <c r="C166" t="s">
        <v>832</v>
      </c>
      <c r="D166" t="s">
        <v>833</v>
      </c>
      <c r="E166" t="s">
        <v>834</v>
      </c>
      <c r="F166">
        <v>112047151</v>
      </c>
      <c r="G166" t="s">
        <v>827</v>
      </c>
      <c r="H166" t="s">
        <v>828</v>
      </c>
      <c r="J166" t="s">
        <v>829</v>
      </c>
      <c r="L166" t="s">
        <v>67</v>
      </c>
      <c r="M166" t="s">
        <v>107</v>
      </c>
      <c r="R166" t="s">
        <v>832</v>
      </c>
      <c r="W166" t="s">
        <v>834</v>
      </c>
      <c r="X166" t="s">
        <v>835</v>
      </c>
      <c r="Y166" t="s">
        <v>836</v>
      </c>
      <c r="Z166" t="s">
        <v>110</v>
      </c>
      <c r="AA166" t="str">
        <f>"11420-2523"</f>
        <v>11420-2523</v>
      </c>
      <c r="AB166" t="s">
        <v>408</v>
      </c>
      <c r="AC166" t="s">
        <v>112</v>
      </c>
      <c r="AD166" t="s">
        <v>107</v>
      </c>
      <c r="AE166" t="s">
        <v>113</v>
      </c>
      <c r="AG166" t="s">
        <v>114</v>
      </c>
    </row>
    <row r="167" spans="1:35" x14ac:dyDescent="0.25">
      <c r="A167" t="str">
        <f>"1861535916"</f>
        <v>1861535916</v>
      </c>
      <c r="B167" t="str">
        <f>"01128858"</f>
        <v>01128858</v>
      </c>
      <c r="C167" t="s">
        <v>837</v>
      </c>
      <c r="D167" t="s">
        <v>838</v>
      </c>
      <c r="E167" t="s">
        <v>839</v>
      </c>
      <c r="G167" t="s">
        <v>827</v>
      </c>
      <c r="H167" t="s">
        <v>828</v>
      </c>
      <c r="J167" t="s">
        <v>829</v>
      </c>
      <c r="L167" t="s">
        <v>67</v>
      </c>
      <c r="M167" t="s">
        <v>107</v>
      </c>
      <c r="R167" t="s">
        <v>837</v>
      </c>
      <c r="W167" t="s">
        <v>839</v>
      </c>
      <c r="X167" t="s">
        <v>840</v>
      </c>
      <c r="Y167" t="s">
        <v>841</v>
      </c>
      <c r="Z167" t="s">
        <v>110</v>
      </c>
      <c r="AA167" t="str">
        <f>"11412-2128"</f>
        <v>11412-2128</v>
      </c>
      <c r="AB167" t="s">
        <v>408</v>
      </c>
      <c r="AC167" t="s">
        <v>112</v>
      </c>
      <c r="AD167" t="s">
        <v>107</v>
      </c>
      <c r="AE167" t="s">
        <v>113</v>
      </c>
      <c r="AG167" t="s">
        <v>114</v>
      </c>
    </row>
    <row r="168" spans="1:35" x14ac:dyDescent="0.25">
      <c r="A168" t="str">
        <f>"1194868257"</f>
        <v>1194868257</v>
      </c>
      <c r="B168" t="str">
        <f>"01128821"</f>
        <v>01128821</v>
      </c>
      <c r="C168" t="s">
        <v>842</v>
      </c>
      <c r="D168" t="s">
        <v>843</v>
      </c>
      <c r="E168" t="s">
        <v>844</v>
      </c>
      <c r="F168">
        <v>112047151</v>
      </c>
      <c r="G168" t="s">
        <v>827</v>
      </c>
      <c r="H168" t="s">
        <v>828</v>
      </c>
      <c r="J168" t="s">
        <v>829</v>
      </c>
      <c r="L168" t="s">
        <v>67</v>
      </c>
      <c r="M168" t="s">
        <v>107</v>
      </c>
      <c r="R168" t="s">
        <v>842</v>
      </c>
      <c r="W168" t="s">
        <v>844</v>
      </c>
      <c r="X168" t="s">
        <v>845</v>
      </c>
      <c r="Y168" t="s">
        <v>422</v>
      </c>
      <c r="Z168" t="s">
        <v>110</v>
      </c>
      <c r="AA168" t="str">
        <f>"11434-5024"</f>
        <v>11434-5024</v>
      </c>
      <c r="AB168" t="s">
        <v>408</v>
      </c>
      <c r="AC168" t="s">
        <v>112</v>
      </c>
      <c r="AD168" t="s">
        <v>107</v>
      </c>
      <c r="AE168" t="s">
        <v>113</v>
      </c>
      <c r="AG168" t="s">
        <v>114</v>
      </c>
    </row>
    <row r="169" spans="1:35" x14ac:dyDescent="0.25">
      <c r="A169" t="str">
        <f>"1588633135"</f>
        <v>1588633135</v>
      </c>
      <c r="B169" t="str">
        <f>"02587424"</f>
        <v>02587424</v>
      </c>
      <c r="C169" t="s">
        <v>846</v>
      </c>
      <c r="D169" t="s">
        <v>847</v>
      </c>
      <c r="E169" t="s">
        <v>848</v>
      </c>
      <c r="G169" t="s">
        <v>221</v>
      </c>
      <c r="H169" t="s">
        <v>222</v>
      </c>
      <c r="I169">
        <v>203</v>
      </c>
      <c r="J169" t="s">
        <v>223</v>
      </c>
      <c r="L169" t="s">
        <v>215</v>
      </c>
      <c r="M169" t="s">
        <v>167</v>
      </c>
      <c r="R169" t="s">
        <v>846</v>
      </c>
      <c r="W169" t="s">
        <v>848</v>
      </c>
      <c r="X169" t="s">
        <v>849</v>
      </c>
      <c r="Y169" t="s">
        <v>240</v>
      </c>
      <c r="Z169" t="s">
        <v>110</v>
      </c>
      <c r="AA169" t="str">
        <f>"11214-1108"</f>
        <v>11214-1108</v>
      </c>
      <c r="AB169" t="s">
        <v>172</v>
      </c>
      <c r="AC169" t="s">
        <v>112</v>
      </c>
      <c r="AD169" t="s">
        <v>107</v>
      </c>
      <c r="AE169" t="s">
        <v>113</v>
      </c>
      <c r="AG169" t="s">
        <v>114</v>
      </c>
    </row>
    <row r="170" spans="1:35" x14ac:dyDescent="0.25">
      <c r="A170" t="str">
        <f>"1962777359"</f>
        <v>1962777359</v>
      </c>
      <c r="C170" t="s">
        <v>850</v>
      </c>
      <c r="G170" t="s">
        <v>103</v>
      </c>
      <c r="H170" t="s">
        <v>104</v>
      </c>
      <c r="J170" t="s">
        <v>105</v>
      </c>
      <c r="K170" t="s">
        <v>276</v>
      </c>
      <c r="L170" t="s">
        <v>373</v>
      </c>
      <c r="M170" t="s">
        <v>107</v>
      </c>
      <c r="R170" t="s">
        <v>850</v>
      </c>
      <c r="S170" t="s">
        <v>851</v>
      </c>
      <c r="T170" t="s">
        <v>852</v>
      </c>
      <c r="U170" t="s">
        <v>853</v>
      </c>
      <c r="V170" t="str">
        <f>"069055013"</f>
        <v>069055013</v>
      </c>
      <c r="AC170" t="s">
        <v>112</v>
      </c>
      <c r="AD170" t="s">
        <v>107</v>
      </c>
      <c r="AE170" t="s">
        <v>278</v>
      </c>
      <c r="AG170" t="s">
        <v>114</v>
      </c>
    </row>
    <row r="171" spans="1:35" x14ac:dyDescent="0.25">
      <c r="A171" t="str">
        <f>"1699978452"</f>
        <v>1699978452</v>
      </c>
      <c r="B171" t="str">
        <f>"00309504"</f>
        <v>00309504</v>
      </c>
      <c r="C171" t="s">
        <v>854</v>
      </c>
      <c r="D171" t="s">
        <v>855</v>
      </c>
      <c r="E171" t="s">
        <v>854</v>
      </c>
      <c r="G171" t="s">
        <v>402</v>
      </c>
      <c r="H171" t="s">
        <v>403</v>
      </c>
      <c r="J171" t="s">
        <v>404</v>
      </c>
      <c r="L171" t="s">
        <v>405</v>
      </c>
      <c r="M171" t="s">
        <v>167</v>
      </c>
      <c r="R171" t="s">
        <v>856</v>
      </c>
      <c r="W171" t="s">
        <v>854</v>
      </c>
      <c r="X171" t="s">
        <v>857</v>
      </c>
      <c r="Y171" t="s">
        <v>225</v>
      </c>
      <c r="Z171" t="s">
        <v>110</v>
      </c>
      <c r="AA171" t="str">
        <f>"11354-1047"</f>
        <v>11354-1047</v>
      </c>
      <c r="AB171" t="s">
        <v>408</v>
      </c>
      <c r="AC171" t="s">
        <v>112</v>
      </c>
      <c r="AD171" t="s">
        <v>107</v>
      </c>
      <c r="AE171" t="s">
        <v>113</v>
      </c>
      <c r="AG171" t="s">
        <v>114</v>
      </c>
    </row>
    <row r="172" spans="1:35" x14ac:dyDescent="0.25">
      <c r="A172" t="str">
        <f>"1245291418"</f>
        <v>1245291418</v>
      </c>
      <c r="B172" t="str">
        <f>"02739302"</f>
        <v>02739302</v>
      </c>
      <c r="C172" t="s">
        <v>858</v>
      </c>
      <c r="D172" t="s">
        <v>859</v>
      </c>
      <c r="E172" t="s">
        <v>858</v>
      </c>
      <c r="G172" t="s">
        <v>402</v>
      </c>
      <c r="H172" t="s">
        <v>403</v>
      </c>
      <c r="J172" t="s">
        <v>404</v>
      </c>
      <c r="L172" t="s">
        <v>720</v>
      </c>
      <c r="M172" t="s">
        <v>107</v>
      </c>
      <c r="R172" t="s">
        <v>860</v>
      </c>
      <c r="W172" t="s">
        <v>858</v>
      </c>
      <c r="X172" t="s">
        <v>857</v>
      </c>
      <c r="Y172" t="s">
        <v>225</v>
      </c>
      <c r="Z172" t="s">
        <v>110</v>
      </c>
      <c r="AA172" t="str">
        <f>"11354-1096"</f>
        <v>11354-1096</v>
      </c>
      <c r="AB172" t="s">
        <v>191</v>
      </c>
      <c r="AC172" t="s">
        <v>112</v>
      </c>
      <c r="AD172" t="s">
        <v>107</v>
      </c>
      <c r="AE172" t="s">
        <v>113</v>
      </c>
      <c r="AG172" t="s">
        <v>114</v>
      </c>
    </row>
    <row r="173" spans="1:35" x14ac:dyDescent="0.25">
      <c r="A173" t="str">
        <f>"1811254725"</f>
        <v>1811254725</v>
      </c>
      <c r="B173" t="str">
        <f>"03814142"</f>
        <v>03814142</v>
      </c>
      <c r="C173" t="s">
        <v>861</v>
      </c>
      <c r="D173" t="s">
        <v>862</v>
      </c>
      <c r="E173" t="s">
        <v>861</v>
      </c>
      <c r="G173" t="s">
        <v>212</v>
      </c>
      <c r="H173" t="s">
        <v>213</v>
      </c>
      <c r="J173" t="s">
        <v>214</v>
      </c>
      <c r="L173" t="s">
        <v>215</v>
      </c>
      <c r="M173" t="s">
        <v>107</v>
      </c>
      <c r="R173" t="s">
        <v>861</v>
      </c>
      <c r="W173" t="s">
        <v>861</v>
      </c>
      <c r="X173" t="s">
        <v>863</v>
      </c>
      <c r="Y173" t="s">
        <v>325</v>
      </c>
      <c r="Z173" t="s">
        <v>110</v>
      </c>
      <c r="AA173" t="str">
        <f>"10026-3138"</f>
        <v>10026-3138</v>
      </c>
      <c r="AB173" t="s">
        <v>217</v>
      </c>
      <c r="AC173" t="s">
        <v>112</v>
      </c>
      <c r="AD173" t="s">
        <v>107</v>
      </c>
      <c r="AE173" t="s">
        <v>113</v>
      </c>
      <c r="AG173" t="s">
        <v>114</v>
      </c>
    </row>
    <row r="174" spans="1:35" x14ac:dyDescent="0.25">
      <c r="A174" t="str">
        <f>"1992928071"</f>
        <v>1992928071</v>
      </c>
      <c r="B174" t="str">
        <f>"01032911"</f>
        <v>01032911</v>
      </c>
      <c r="C174" t="s">
        <v>864</v>
      </c>
      <c r="D174" t="s">
        <v>865</v>
      </c>
      <c r="E174" t="s">
        <v>866</v>
      </c>
      <c r="G174" t="s">
        <v>229</v>
      </c>
      <c r="H174" t="s">
        <v>230</v>
      </c>
      <c r="J174" t="s">
        <v>231</v>
      </c>
      <c r="L174" t="s">
        <v>67</v>
      </c>
      <c r="M174" t="s">
        <v>107</v>
      </c>
      <c r="R174" t="s">
        <v>864</v>
      </c>
      <c r="W174" t="s">
        <v>866</v>
      </c>
      <c r="X174" t="s">
        <v>234</v>
      </c>
      <c r="Y174" t="s">
        <v>235</v>
      </c>
      <c r="Z174" t="s">
        <v>110</v>
      </c>
      <c r="AA174" t="str">
        <f>"11360-2810"</f>
        <v>11360-2810</v>
      </c>
      <c r="AB174" t="s">
        <v>408</v>
      </c>
      <c r="AC174" t="s">
        <v>112</v>
      </c>
      <c r="AD174" t="s">
        <v>107</v>
      </c>
      <c r="AE174" t="s">
        <v>113</v>
      </c>
      <c r="AG174" t="s">
        <v>114</v>
      </c>
    </row>
    <row r="175" spans="1:35" x14ac:dyDescent="0.25">
      <c r="B175" t="str">
        <f>"02780610"</f>
        <v>02780610</v>
      </c>
      <c r="C175" t="s">
        <v>867</v>
      </c>
      <c r="D175" t="s">
        <v>868</v>
      </c>
      <c r="E175" t="s">
        <v>867</v>
      </c>
      <c r="G175" t="s">
        <v>869</v>
      </c>
      <c r="H175" t="s">
        <v>870</v>
      </c>
      <c r="J175" t="s">
        <v>871</v>
      </c>
      <c r="L175" t="s">
        <v>67</v>
      </c>
      <c r="M175" t="s">
        <v>167</v>
      </c>
      <c r="W175" t="s">
        <v>867</v>
      </c>
      <c r="X175" t="s">
        <v>872</v>
      </c>
      <c r="Y175" t="s">
        <v>225</v>
      </c>
      <c r="Z175" t="s">
        <v>110</v>
      </c>
      <c r="AA175" t="str">
        <f>"11368-4022"</f>
        <v>11368-4022</v>
      </c>
      <c r="AB175" t="s">
        <v>546</v>
      </c>
      <c r="AC175" t="s">
        <v>112</v>
      </c>
      <c r="AD175" t="s">
        <v>107</v>
      </c>
      <c r="AE175" t="s">
        <v>113</v>
      </c>
      <c r="AG175" t="s">
        <v>114</v>
      </c>
    </row>
    <row r="176" spans="1:35" x14ac:dyDescent="0.25">
      <c r="A176" t="str">
        <f>"1487701876"</f>
        <v>1487701876</v>
      </c>
      <c r="B176" t="str">
        <f>"00667758"</f>
        <v>00667758</v>
      </c>
      <c r="C176" t="s">
        <v>873</v>
      </c>
      <c r="D176" t="s">
        <v>874</v>
      </c>
      <c r="E176" t="s">
        <v>875</v>
      </c>
      <c r="G176" t="s">
        <v>876</v>
      </c>
      <c r="H176" t="s">
        <v>877</v>
      </c>
      <c r="J176" t="s">
        <v>878</v>
      </c>
      <c r="L176" t="s">
        <v>720</v>
      </c>
      <c r="M176" t="s">
        <v>107</v>
      </c>
      <c r="R176" t="s">
        <v>873</v>
      </c>
      <c r="W176" t="s">
        <v>875</v>
      </c>
      <c r="X176" t="s">
        <v>879</v>
      </c>
      <c r="Y176" t="s">
        <v>880</v>
      </c>
      <c r="Z176" t="s">
        <v>110</v>
      </c>
      <c r="AA176" t="str">
        <f>"11370-1428"</f>
        <v>11370-1428</v>
      </c>
      <c r="AB176" t="s">
        <v>184</v>
      </c>
      <c r="AC176" t="s">
        <v>112</v>
      </c>
      <c r="AD176" t="s">
        <v>107</v>
      </c>
      <c r="AE176" t="s">
        <v>113</v>
      </c>
      <c r="AG176" t="s">
        <v>114</v>
      </c>
    </row>
    <row r="177" spans="1:33" x14ac:dyDescent="0.25">
      <c r="A177" t="str">
        <f>"1720263973"</f>
        <v>1720263973</v>
      </c>
      <c r="B177" t="str">
        <f>"03081243"</f>
        <v>03081243</v>
      </c>
      <c r="C177" t="s">
        <v>881</v>
      </c>
      <c r="D177" t="s">
        <v>882</v>
      </c>
      <c r="E177" t="s">
        <v>883</v>
      </c>
      <c r="G177" t="s">
        <v>195</v>
      </c>
      <c r="H177" t="s">
        <v>196</v>
      </c>
      <c r="J177" t="s">
        <v>197</v>
      </c>
      <c r="L177" t="s">
        <v>106</v>
      </c>
      <c r="M177" t="s">
        <v>107</v>
      </c>
      <c r="R177" t="s">
        <v>881</v>
      </c>
      <c r="W177" t="s">
        <v>884</v>
      </c>
      <c r="X177" t="s">
        <v>885</v>
      </c>
      <c r="Y177" t="s">
        <v>647</v>
      </c>
      <c r="Z177" t="s">
        <v>110</v>
      </c>
      <c r="AA177" t="str">
        <f>"11365-1539"</f>
        <v>11365-1539</v>
      </c>
      <c r="AB177" t="s">
        <v>172</v>
      </c>
      <c r="AC177" t="s">
        <v>112</v>
      </c>
      <c r="AD177" t="s">
        <v>107</v>
      </c>
      <c r="AE177" t="s">
        <v>113</v>
      </c>
      <c r="AG177" t="s">
        <v>114</v>
      </c>
    </row>
    <row r="178" spans="1:33" x14ac:dyDescent="0.25">
      <c r="A178" t="str">
        <f>"1265412845"</f>
        <v>1265412845</v>
      </c>
      <c r="B178" t="str">
        <f>"00945859"</f>
        <v>00945859</v>
      </c>
      <c r="C178" t="s">
        <v>886</v>
      </c>
      <c r="D178" t="s">
        <v>887</v>
      </c>
      <c r="E178" t="s">
        <v>888</v>
      </c>
      <c r="G178" t="s">
        <v>195</v>
      </c>
      <c r="H178" t="s">
        <v>196</v>
      </c>
      <c r="J178" t="s">
        <v>197</v>
      </c>
      <c r="L178" t="s">
        <v>215</v>
      </c>
      <c r="M178" t="s">
        <v>107</v>
      </c>
      <c r="R178" t="s">
        <v>886</v>
      </c>
      <c r="W178" t="s">
        <v>888</v>
      </c>
      <c r="X178" t="s">
        <v>347</v>
      </c>
      <c r="Y178" t="s">
        <v>225</v>
      </c>
      <c r="Z178" t="s">
        <v>110</v>
      </c>
      <c r="AA178" t="str">
        <f>"11358-1922"</f>
        <v>11358-1922</v>
      </c>
      <c r="AB178" t="s">
        <v>217</v>
      </c>
      <c r="AC178" t="s">
        <v>112</v>
      </c>
      <c r="AD178" t="s">
        <v>107</v>
      </c>
      <c r="AE178" t="s">
        <v>113</v>
      </c>
      <c r="AG178" t="s">
        <v>114</v>
      </c>
    </row>
    <row r="179" spans="1:33" x14ac:dyDescent="0.25">
      <c r="A179" t="str">
        <f>"1134176126"</f>
        <v>1134176126</v>
      </c>
      <c r="B179" t="str">
        <f>"02171566"</f>
        <v>02171566</v>
      </c>
      <c r="C179" t="s">
        <v>889</v>
      </c>
      <c r="D179" t="s">
        <v>890</v>
      </c>
      <c r="E179" t="s">
        <v>891</v>
      </c>
      <c r="G179" t="s">
        <v>195</v>
      </c>
      <c r="H179" t="s">
        <v>196</v>
      </c>
      <c r="J179" t="s">
        <v>197</v>
      </c>
      <c r="L179" t="s">
        <v>215</v>
      </c>
      <c r="M179" t="s">
        <v>107</v>
      </c>
      <c r="R179" t="s">
        <v>889</v>
      </c>
      <c r="W179" t="s">
        <v>891</v>
      </c>
      <c r="X179" t="s">
        <v>892</v>
      </c>
      <c r="Y179" t="s">
        <v>225</v>
      </c>
      <c r="Z179" t="s">
        <v>110</v>
      </c>
      <c r="AA179" t="str">
        <f>"11355-5045"</f>
        <v>11355-5045</v>
      </c>
      <c r="AB179" t="s">
        <v>172</v>
      </c>
      <c r="AC179" t="s">
        <v>112</v>
      </c>
      <c r="AD179" t="s">
        <v>107</v>
      </c>
      <c r="AE179" t="s">
        <v>113</v>
      </c>
      <c r="AG179" t="s">
        <v>114</v>
      </c>
    </row>
    <row r="180" spans="1:33" x14ac:dyDescent="0.25">
      <c r="A180" t="str">
        <f>"1417909169"</f>
        <v>1417909169</v>
      </c>
      <c r="B180" t="str">
        <f>"02384187"</f>
        <v>02384187</v>
      </c>
      <c r="C180" t="s">
        <v>893</v>
      </c>
      <c r="D180" t="s">
        <v>894</v>
      </c>
      <c r="E180" t="s">
        <v>895</v>
      </c>
      <c r="G180" t="s">
        <v>195</v>
      </c>
      <c r="H180" t="s">
        <v>196</v>
      </c>
      <c r="J180" t="s">
        <v>197</v>
      </c>
      <c r="L180" t="s">
        <v>215</v>
      </c>
      <c r="M180" t="s">
        <v>107</v>
      </c>
      <c r="R180" t="s">
        <v>893</v>
      </c>
      <c r="W180" t="s">
        <v>895</v>
      </c>
      <c r="X180" t="s">
        <v>896</v>
      </c>
      <c r="Y180" t="s">
        <v>240</v>
      </c>
      <c r="Z180" t="s">
        <v>110</v>
      </c>
      <c r="AA180" t="str">
        <f>"11219-2916"</f>
        <v>11219-2916</v>
      </c>
      <c r="AB180" t="s">
        <v>172</v>
      </c>
      <c r="AC180" t="s">
        <v>112</v>
      </c>
      <c r="AD180" t="s">
        <v>107</v>
      </c>
      <c r="AE180" t="s">
        <v>113</v>
      </c>
      <c r="AG180" t="s">
        <v>114</v>
      </c>
    </row>
    <row r="181" spans="1:33" x14ac:dyDescent="0.25">
      <c r="A181" t="str">
        <f>"1063506574"</f>
        <v>1063506574</v>
      </c>
      <c r="B181" t="str">
        <f>"02108381"</f>
        <v>02108381</v>
      </c>
      <c r="C181" t="s">
        <v>897</v>
      </c>
      <c r="D181" t="s">
        <v>898</v>
      </c>
      <c r="E181" t="s">
        <v>899</v>
      </c>
      <c r="G181" t="s">
        <v>195</v>
      </c>
      <c r="H181" t="s">
        <v>196</v>
      </c>
      <c r="J181" t="s">
        <v>197</v>
      </c>
      <c r="L181" t="s">
        <v>215</v>
      </c>
      <c r="M181" t="s">
        <v>107</v>
      </c>
      <c r="R181" t="s">
        <v>897</v>
      </c>
      <c r="W181" t="s">
        <v>899</v>
      </c>
      <c r="X181" t="s">
        <v>900</v>
      </c>
      <c r="Y181" t="s">
        <v>171</v>
      </c>
      <c r="Z181" t="s">
        <v>110</v>
      </c>
      <c r="AA181" t="str">
        <f>"11373-4941"</f>
        <v>11373-4941</v>
      </c>
      <c r="AB181" t="s">
        <v>172</v>
      </c>
      <c r="AC181" t="s">
        <v>112</v>
      </c>
      <c r="AD181" t="s">
        <v>107</v>
      </c>
      <c r="AE181" t="s">
        <v>113</v>
      </c>
      <c r="AG181" t="s">
        <v>114</v>
      </c>
    </row>
    <row r="182" spans="1:33" x14ac:dyDescent="0.25">
      <c r="A182" t="str">
        <f>"1538191143"</f>
        <v>1538191143</v>
      </c>
      <c r="B182" t="str">
        <f>"01591964"</f>
        <v>01591964</v>
      </c>
      <c r="C182" t="s">
        <v>901</v>
      </c>
      <c r="D182" t="s">
        <v>902</v>
      </c>
      <c r="E182" t="s">
        <v>903</v>
      </c>
      <c r="G182" t="s">
        <v>904</v>
      </c>
      <c r="H182" t="s">
        <v>905</v>
      </c>
      <c r="J182" t="s">
        <v>906</v>
      </c>
      <c r="L182" t="s">
        <v>166</v>
      </c>
      <c r="M182" t="s">
        <v>167</v>
      </c>
      <c r="R182" t="s">
        <v>901</v>
      </c>
      <c r="W182" t="s">
        <v>903</v>
      </c>
      <c r="Y182" t="s">
        <v>907</v>
      </c>
      <c r="Z182" t="s">
        <v>110</v>
      </c>
      <c r="AA182" t="str">
        <f>"11561-2300"</f>
        <v>11561-2300</v>
      </c>
      <c r="AB182" t="s">
        <v>172</v>
      </c>
      <c r="AC182" t="s">
        <v>112</v>
      </c>
      <c r="AD182" t="s">
        <v>107</v>
      </c>
      <c r="AE182" t="s">
        <v>113</v>
      </c>
      <c r="AG182" t="s">
        <v>114</v>
      </c>
    </row>
    <row r="183" spans="1:33" x14ac:dyDescent="0.25">
      <c r="A183" t="str">
        <f>"1427083336"</f>
        <v>1427083336</v>
      </c>
      <c r="B183" t="str">
        <f>"02664446"</f>
        <v>02664446</v>
      </c>
      <c r="C183" t="s">
        <v>908</v>
      </c>
      <c r="D183" t="s">
        <v>909</v>
      </c>
      <c r="E183" t="s">
        <v>910</v>
      </c>
      <c r="G183" t="s">
        <v>904</v>
      </c>
      <c r="H183" t="s">
        <v>905</v>
      </c>
      <c r="J183" t="s">
        <v>906</v>
      </c>
      <c r="L183" t="s">
        <v>166</v>
      </c>
      <c r="M183" t="s">
        <v>167</v>
      </c>
      <c r="R183" t="s">
        <v>908</v>
      </c>
      <c r="W183" t="s">
        <v>910</v>
      </c>
      <c r="X183" t="s">
        <v>911</v>
      </c>
      <c r="Y183" t="s">
        <v>183</v>
      </c>
      <c r="Z183" t="s">
        <v>110</v>
      </c>
      <c r="AA183" t="str">
        <f>"10456-4145"</f>
        <v>10456-4145</v>
      </c>
      <c r="AB183" t="s">
        <v>172</v>
      </c>
      <c r="AC183" t="s">
        <v>112</v>
      </c>
      <c r="AD183" t="s">
        <v>107</v>
      </c>
      <c r="AE183" t="s">
        <v>113</v>
      </c>
      <c r="AG183" t="s">
        <v>114</v>
      </c>
    </row>
    <row r="184" spans="1:33" x14ac:dyDescent="0.25">
      <c r="A184" t="str">
        <f>"1912917048"</f>
        <v>1912917048</v>
      </c>
      <c r="B184" t="str">
        <f>"01583586"</f>
        <v>01583586</v>
      </c>
      <c r="C184" t="s">
        <v>912</v>
      </c>
      <c r="D184" t="s">
        <v>913</v>
      </c>
      <c r="E184" t="s">
        <v>914</v>
      </c>
      <c r="G184" t="s">
        <v>904</v>
      </c>
      <c r="H184" t="s">
        <v>905</v>
      </c>
      <c r="J184" t="s">
        <v>906</v>
      </c>
      <c r="L184" t="s">
        <v>166</v>
      </c>
      <c r="M184" t="s">
        <v>167</v>
      </c>
      <c r="R184" t="s">
        <v>912</v>
      </c>
      <c r="W184" t="s">
        <v>914</v>
      </c>
      <c r="X184" t="s">
        <v>915</v>
      </c>
      <c r="Y184" t="s">
        <v>225</v>
      </c>
      <c r="Z184" t="s">
        <v>110</v>
      </c>
      <c r="AA184" t="str">
        <f>"11355-2271"</f>
        <v>11355-2271</v>
      </c>
      <c r="AB184" t="s">
        <v>172</v>
      </c>
      <c r="AC184" t="s">
        <v>112</v>
      </c>
      <c r="AD184" t="s">
        <v>107</v>
      </c>
      <c r="AE184" t="s">
        <v>113</v>
      </c>
      <c r="AG184" t="s">
        <v>114</v>
      </c>
    </row>
    <row r="185" spans="1:33" x14ac:dyDescent="0.25">
      <c r="A185" t="str">
        <f>"1760805717"</f>
        <v>1760805717</v>
      </c>
      <c r="C185" t="s">
        <v>916</v>
      </c>
      <c r="G185" t="s">
        <v>904</v>
      </c>
      <c r="H185" t="s">
        <v>905</v>
      </c>
      <c r="J185" t="s">
        <v>906</v>
      </c>
      <c r="K185" t="s">
        <v>749</v>
      </c>
      <c r="L185" t="s">
        <v>373</v>
      </c>
      <c r="M185" t="s">
        <v>107</v>
      </c>
      <c r="R185" t="s">
        <v>916</v>
      </c>
      <c r="S185" t="s">
        <v>917</v>
      </c>
      <c r="T185" t="s">
        <v>183</v>
      </c>
      <c r="U185" t="s">
        <v>110</v>
      </c>
      <c r="V185" t="str">
        <f>"104534303"</f>
        <v>104534303</v>
      </c>
      <c r="AC185" t="s">
        <v>112</v>
      </c>
      <c r="AD185" t="s">
        <v>107</v>
      </c>
      <c r="AE185" t="s">
        <v>278</v>
      </c>
      <c r="AG185" t="s">
        <v>114</v>
      </c>
    </row>
    <row r="186" spans="1:33" x14ac:dyDescent="0.25">
      <c r="A186" t="str">
        <f>"1194131623"</f>
        <v>1194131623</v>
      </c>
      <c r="B186" t="str">
        <f>"03927864"</f>
        <v>03927864</v>
      </c>
      <c r="C186" t="s">
        <v>918</v>
      </c>
      <c r="D186" t="s">
        <v>919</v>
      </c>
      <c r="E186" t="s">
        <v>918</v>
      </c>
      <c r="G186" t="s">
        <v>904</v>
      </c>
      <c r="H186" t="s">
        <v>905</v>
      </c>
      <c r="J186" t="s">
        <v>906</v>
      </c>
      <c r="L186" t="s">
        <v>215</v>
      </c>
      <c r="M186" t="s">
        <v>167</v>
      </c>
      <c r="R186" t="s">
        <v>918</v>
      </c>
      <c r="W186" t="s">
        <v>918</v>
      </c>
      <c r="X186" t="s">
        <v>917</v>
      </c>
      <c r="Y186" t="s">
        <v>183</v>
      </c>
      <c r="Z186" t="s">
        <v>110</v>
      </c>
      <c r="AA186" t="str">
        <f>"10453-4303"</f>
        <v>10453-4303</v>
      </c>
      <c r="AB186" t="s">
        <v>172</v>
      </c>
      <c r="AC186" t="s">
        <v>112</v>
      </c>
      <c r="AD186" t="s">
        <v>107</v>
      </c>
      <c r="AE186" t="s">
        <v>113</v>
      </c>
      <c r="AG186" t="s">
        <v>114</v>
      </c>
    </row>
    <row r="187" spans="1:33" x14ac:dyDescent="0.25">
      <c r="A187" t="str">
        <f>"1134467954"</f>
        <v>1134467954</v>
      </c>
      <c r="B187" t="str">
        <f>"03585595"</f>
        <v>03585595</v>
      </c>
      <c r="C187" t="s">
        <v>920</v>
      </c>
      <c r="D187" t="s">
        <v>921</v>
      </c>
      <c r="E187" t="s">
        <v>920</v>
      </c>
      <c r="G187" t="s">
        <v>904</v>
      </c>
      <c r="H187" t="s">
        <v>905</v>
      </c>
      <c r="J187" t="s">
        <v>906</v>
      </c>
      <c r="L187" t="s">
        <v>106</v>
      </c>
      <c r="M187" t="s">
        <v>167</v>
      </c>
      <c r="R187" t="s">
        <v>920</v>
      </c>
      <c r="W187" t="s">
        <v>920</v>
      </c>
      <c r="X187" t="s">
        <v>917</v>
      </c>
      <c r="Y187" t="s">
        <v>183</v>
      </c>
      <c r="Z187" t="s">
        <v>110</v>
      </c>
      <c r="AA187" t="str">
        <f>"10453-4303"</f>
        <v>10453-4303</v>
      </c>
      <c r="AB187" t="s">
        <v>172</v>
      </c>
      <c r="AC187" t="s">
        <v>112</v>
      </c>
      <c r="AD187" t="s">
        <v>107</v>
      </c>
      <c r="AE187" t="s">
        <v>113</v>
      </c>
      <c r="AG187" t="s">
        <v>114</v>
      </c>
    </row>
    <row r="188" spans="1:33" x14ac:dyDescent="0.25">
      <c r="A188" t="str">
        <f>"1649316019"</f>
        <v>1649316019</v>
      </c>
      <c r="B188" t="str">
        <f>"03087712"</f>
        <v>03087712</v>
      </c>
      <c r="C188" t="s">
        <v>922</v>
      </c>
      <c r="D188" t="s">
        <v>923</v>
      </c>
      <c r="E188" t="s">
        <v>924</v>
      </c>
      <c r="G188" t="s">
        <v>103</v>
      </c>
      <c r="H188" t="s">
        <v>104</v>
      </c>
      <c r="J188" t="s">
        <v>105</v>
      </c>
      <c r="L188" t="s">
        <v>117</v>
      </c>
      <c r="M188" t="s">
        <v>107</v>
      </c>
      <c r="R188" t="s">
        <v>922</v>
      </c>
      <c r="W188" t="s">
        <v>924</v>
      </c>
      <c r="X188" t="s">
        <v>119</v>
      </c>
      <c r="Y188" t="s">
        <v>109</v>
      </c>
      <c r="Z188" t="s">
        <v>110</v>
      </c>
      <c r="AA188" t="str">
        <f>"11374-2259"</f>
        <v>11374-2259</v>
      </c>
      <c r="AB188" t="s">
        <v>172</v>
      </c>
      <c r="AC188" t="s">
        <v>112</v>
      </c>
      <c r="AD188" t="s">
        <v>107</v>
      </c>
      <c r="AE188" t="s">
        <v>113</v>
      </c>
      <c r="AG188" t="s">
        <v>114</v>
      </c>
    </row>
    <row r="189" spans="1:33" x14ac:dyDescent="0.25">
      <c r="A189" t="str">
        <f>"1669519385"</f>
        <v>1669519385</v>
      </c>
      <c r="B189" t="str">
        <f>"01356418"</f>
        <v>01356418</v>
      </c>
      <c r="C189" t="s">
        <v>925</v>
      </c>
      <c r="D189" t="s">
        <v>926</v>
      </c>
      <c r="E189" t="s">
        <v>927</v>
      </c>
      <c r="G189" t="s">
        <v>103</v>
      </c>
      <c r="H189" t="s">
        <v>104</v>
      </c>
      <c r="J189" t="s">
        <v>105</v>
      </c>
      <c r="L189" t="s">
        <v>117</v>
      </c>
      <c r="M189" t="s">
        <v>107</v>
      </c>
      <c r="R189" t="s">
        <v>925</v>
      </c>
      <c r="W189" t="s">
        <v>927</v>
      </c>
      <c r="X189" t="s">
        <v>928</v>
      </c>
      <c r="Y189" t="s">
        <v>294</v>
      </c>
      <c r="Z189" t="s">
        <v>110</v>
      </c>
      <c r="AA189" t="str">
        <f>"11570-1001"</f>
        <v>11570-1001</v>
      </c>
      <c r="AB189" t="s">
        <v>172</v>
      </c>
      <c r="AC189" t="s">
        <v>112</v>
      </c>
      <c r="AD189" t="s">
        <v>107</v>
      </c>
      <c r="AE189" t="s">
        <v>113</v>
      </c>
      <c r="AG189" t="s">
        <v>114</v>
      </c>
    </row>
    <row r="190" spans="1:33" x14ac:dyDescent="0.25">
      <c r="A190" t="str">
        <f>"1417287962"</f>
        <v>1417287962</v>
      </c>
      <c r="B190" t="str">
        <f>"00854206"</f>
        <v>00854206</v>
      </c>
      <c r="C190" t="s">
        <v>929</v>
      </c>
      <c r="D190" t="s">
        <v>930</v>
      </c>
      <c r="E190" t="s">
        <v>931</v>
      </c>
      <c r="G190" t="s">
        <v>103</v>
      </c>
      <c r="H190" t="s">
        <v>104</v>
      </c>
      <c r="J190" t="s">
        <v>105</v>
      </c>
      <c r="L190" t="s">
        <v>106</v>
      </c>
      <c r="M190" t="s">
        <v>107</v>
      </c>
      <c r="R190" t="s">
        <v>929</v>
      </c>
      <c r="W190" t="s">
        <v>932</v>
      </c>
      <c r="X190" t="s">
        <v>119</v>
      </c>
      <c r="Y190" t="s">
        <v>109</v>
      </c>
      <c r="Z190" t="s">
        <v>110</v>
      </c>
      <c r="AA190" t="str">
        <f>"11374-2259"</f>
        <v>11374-2259</v>
      </c>
      <c r="AB190" t="s">
        <v>172</v>
      </c>
      <c r="AC190" t="s">
        <v>112</v>
      </c>
      <c r="AD190" t="s">
        <v>107</v>
      </c>
      <c r="AE190" t="s">
        <v>113</v>
      </c>
      <c r="AG190" t="s">
        <v>114</v>
      </c>
    </row>
    <row r="191" spans="1:33" x14ac:dyDescent="0.25">
      <c r="A191" t="str">
        <f>"1285673376"</f>
        <v>1285673376</v>
      </c>
      <c r="B191" t="str">
        <f>"03703871"</f>
        <v>03703871</v>
      </c>
      <c r="C191" t="s">
        <v>933</v>
      </c>
      <c r="D191" t="s">
        <v>934</v>
      </c>
      <c r="E191" t="s">
        <v>935</v>
      </c>
      <c r="G191" t="s">
        <v>103</v>
      </c>
      <c r="H191" t="s">
        <v>104</v>
      </c>
      <c r="J191" t="s">
        <v>105</v>
      </c>
      <c r="L191" t="s">
        <v>117</v>
      </c>
      <c r="M191" t="s">
        <v>107</v>
      </c>
      <c r="R191" t="s">
        <v>933</v>
      </c>
      <c r="W191" t="s">
        <v>935</v>
      </c>
      <c r="X191" t="s">
        <v>119</v>
      </c>
      <c r="Y191" t="s">
        <v>109</v>
      </c>
      <c r="Z191" t="s">
        <v>110</v>
      </c>
      <c r="AA191" t="str">
        <f>"11374-2259"</f>
        <v>11374-2259</v>
      </c>
      <c r="AB191" t="s">
        <v>172</v>
      </c>
      <c r="AC191" t="s">
        <v>112</v>
      </c>
      <c r="AD191" t="s">
        <v>107</v>
      </c>
      <c r="AE191" t="s">
        <v>113</v>
      </c>
      <c r="AG191" t="s">
        <v>114</v>
      </c>
    </row>
    <row r="192" spans="1:33" x14ac:dyDescent="0.25">
      <c r="A192" t="str">
        <f>"1841221215"</f>
        <v>1841221215</v>
      </c>
      <c r="B192" t="str">
        <f>"00481934"</f>
        <v>00481934</v>
      </c>
      <c r="C192" t="s">
        <v>936</v>
      </c>
      <c r="D192" t="s">
        <v>937</v>
      </c>
      <c r="E192" t="s">
        <v>938</v>
      </c>
      <c r="G192" t="s">
        <v>103</v>
      </c>
      <c r="H192" t="s">
        <v>104</v>
      </c>
      <c r="J192" t="s">
        <v>105</v>
      </c>
      <c r="L192" t="s">
        <v>117</v>
      </c>
      <c r="M192" t="s">
        <v>107</v>
      </c>
      <c r="R192" t="s">
        <v>936</v>
      </c>
      <c r="W192" t="s">
        <v>938</v>
      </c>
      <c r="X192" t="s">
        <v>119</v>
      </c>
      <c r="Y192" t="s">
        <v>109</v>
      </c>
      <c r="Z192" t="s">
        <v>110</v>
      </c>
      <c r="AA192" t="str">
        <f>"11374-2259"</f>
        <v>11374-2259</v>
      </c>
      <c r="AB192" t="s">
        <v>172</v>
      </c>
      <c r="AC192" t="s">
        <v>112</v>
      </c>
      <c r="AD192" t="s">
        <v>107</v>
      </c>
      <c r="AE192" t="s">
        <v>113</v>
      </c>
      <c r="AG192" t="s">
        <v>114</v>
      </c>
    </row>
    <row r="193" spans="1:33" x14ac:dyDescent="0.25">
      <c r="A193" t="str">
        <f>"1497994081"</f>
        <v>1497994081</v>
      </c>
      <c r="B193" t="str">
        <f>"01867638"</f>
        <v>01867638</v>
      </c>
      <c r="C193" t="s">
        <v>939</v>
      </c>
      <c r="D193" t="s">
        <v>940</v>
      </c>
      <c r="E193" t="s">
        <v>941</v>
      </c>
      <c r="G193" t="s">
        <v>103</v>
      </c>
      <c r="H193" t="s">
        <v>104</v>
      </c>
      <c r="J193" t="s">
        <v>105</v>
      </c>
      <c r="L193" t="s">
        <v>106</v>
      </c>
      <c r="M193" t="s">
        <v>107</v>
      </c>
      <c r="R193" t="s">
        <v>939</v>
      </c>
      <c r="W193" t="s">
        <v>941</v>
      </c>
      <c r="X193" t="s">
        <v>942</v>
      </c>
      <c r="Y193" t="s">
        <v>325</v>
      </c>
      <c r="Z193" t="s">
        <v>110</v>
      </c>
      <c r="AA193" t="str">
        <f>"10003-8908"</f>
        <v>10003-8908</v>
      </c>
      <c r="AB193" t="s">
        <v>172</v>
      </c>
      <c r="AC193" t="s">
        <v>112</v>
      </c>
      <c r="AD193" t="s">
        <v>107</v>
      </c>
      <c r="AE193" t="s">
        <v>113</v>
      </c>
      <c r="AG193" t="s">
        <v>114</v>
      </c>
    </row>
    <row r="194" spans="1:33" x14ac:dyDescent="0.25">
      <c r="A194" t="str">
        <f>"1891757282"</f>
        <v>1891757282</v>
      </c>
      <c r="B194" t="str">
        <f>"01696051"</f>
        <v>01696051</v>
      </c>
      <c r="C194" t="s">
        <v>943</v>
      </c>
      <c r="D194" t="s">
        <v>944</v>
      </c>
      <c r="E194" t="s">
        <v>943</v>
      </c>
      <c r="G194" t="s">
        <v>103</v>
      </c>
      <c r="H194" t="s">
        <v>104</v>
      </c>
      <c r="J194" t="s">
        <v>105</v>
      </c>
      <c r="L194" t="s">
        <v>117</v>
      </c>
      <c r="M194" t="s">
        <v>107</v>
      </c>
      <c r="R194" t="s">
        <v>943</v>
      </c>
      <c r="W194" t="s">
        <v>945</v>
      </c>
      <c r="X194" t="s">
        <v>946</v>
      </c>
      <c r="Y194" t="s">
        <v>109</v>
      </c>
      <c r="Z194" t="s">
        <v>110</v>
      </c>
      <c r="AA194" t="str">
        <f>"11374-1160"</f>
        <v>11374-1160</v>
      </c>
      <c r="AB194" t="s">
        <v>172</v>
      </c>
      <c r="AC194" t="s">
        <v>112</v>
      </c>
      <c r="AD194" t="s">
        <v>107</v>
      </c>
      <c r="AE194" t="s">
        <v>113</v>
      </c>
      <c r="AG194" t="s">
        <v>114</v>
      </c>
    </row>
    <row r="195" spans="1:33" x14ac:dyDescent="0.25">
      <c r="A195" t="str">
        <f>"1558774653"</f>
        <v>1558774653</v>
      </c>
      <c r="B195" t="str">
        <f>"03971051"</f>
        <v>03971051</v>
      </c>
      <c r="C195" t="s">
        <v>947</v>
      </c>
      <c r="D195" t="s">
        <v>948</v>
      </c>
      <c r="E195" t="s">
        <v>949</v>
      </c>
      <c r="G195" t="s">
        <v>103</v>
      </c>
      <c r="H195" t="s">
        <v>104</v>
      </c>
      <c r="J195" t="s">
        <v>105</v>
      </c>
      <c r="L195" t="s">
        <v>106</v>
      </c>
      <c r="M195" t="s">
        <v>107</v>
      </c>
      <c r="R195" t="s">
        <v>947</v>
      </c>
      <c r="W195" t="s">
        <v>950</v>
      </c>
      <c r="X195" t="s">
        <v>951</v>
      </c>
      <c r="Y195" t="s">
        <v>240</v>
      </c>
      <c r="Z195" t="s">
        <v>110</v>
      </c>
      <c r="AA195" t="str">
        <f>"11233-4513"</f>
        <v>11233-4513</v>
      </c>
      <c r="AB195" t="s">
        <v>172</v>
      </c>
      <c r="AC195" t="s">
        <v>112</v>
      </c>
      <c r="AD195" t="s">
        <v>107</v>
      </c>
      <c r="AE195" t="s">
        <v>113</v>
      </c>
      <c r="AG195" t="s">
        <v>114</v>
      </c>
    </row>
    <row r="196" spans="1:33" x14ac:dyDescent="0.25">
      <c r="A196" t="str">
        <f>"1235174541"</f>
        <v>1235174541</v>
      </c>
      <c r="B196" t="str">
        <f>"00309137"</f>
        <v>00309137</v>
      </c>
      <c r="C196" t="s">
        <v>952</v>
      </c>
      <c r="D196" t="s">
        <v>953</v>
      </c>
      <c r="E196" t="s">
        <v>954</v>
      </c>
      <c r="G196" t="s">
        <v>955</v>
      </c>
      <c r="H196" t="s">
        <v>956</v>
      </c>
      <c r="I196">
        <v>207</v>
      </c>
      <c r="J196" t="s">
        <v>957</v>
      </c>
      <c r="L196" t="s">
        <v>405</v>
      </c>
      <c r="M196" t="s">
        <v>167</v>
      </c>
      <c r="R196" t="s">
        <v>952</v>
      </c>
      <c r="W196" t="s">
        <v>958</v>
      </c>
      <c r="X196" t="s">
        <v>959</v>
      </c>
      <c r="Y196" t="s">
        <v>225</v>
      </c>
      <c r="Z196" t="s">
        <v>110</v>
      </c>
      <c r="AA196" t="str">
        <f>"11366-1229"</f>
        <v>11366-1229</v>
      </c>
      <c r="AB196" t="s">
        <v>408</v>
      </c>
      <c r="AC196" t="s">
        <v>112</v>
      </c>
      <c r="AD196" t="s">
        <v>107</v>
      </c>
      <c r="AE196" t="s">
        <v>113</v>
      </c>
      <c r="AG196" t="s">
        <v>114</v>
      </c>
    </row>
    <row r="197" spans="1:33" x14ac:dyDescent="0.25">
      <c r="A197" t="str">
        <f>"1386745578"</f>
        <v>1386745578</v>
      </c>
      <c r="B197" t="str">
        <f>"02586547"</f>
        <v>02586547</v>
      </c>
      <c r="C197" t="s">
        <v>960</v>
      </c>
      <c r="D197" t="s">
        <v>961</v>
      </c>
      <c r="E197" t="s">
        <v>962</v>
      </c>
      <c r="G197" t="s">
        <v>955</v>
      </c>
      <c r="H197" t="s">
        <v>956</v>
      </c>
      <c r="I197">
        <v>207</v>
      </c>
      <c r="J197" t="s">
        <v>957</v>
      </c>
      <c r="L197" t="s">
        <v>166</v>
      </c>
      <c r="M197" t="s">
        <v>107</v>
      </c>
      <c r="R197" t="s">
        <v>960</v>
      </c>
      <c r="W197" t="s">
        <v>962</v>
      </c>
      <c r="X197" t="s">
        <v>963</v>
      </c>
      <c r="Y197" t="s">
        <v>225</v>
      </c>
      <c r="Z197" t="s">
        <v>110</v>
      </c>
      <c r="AA197" t="str">
        <f>"11355-5336"</f>
        <v>11355-5336</v>
      </c>
      <c r="AB197" t="s">
        <v>172</v>
      </c>
      <c r="AC197" t="s">
        <v>112</v>
      </c>
      <c r="AD197" t="s">
        <v>107</v>
      </c>
      <c r="AE197" t="s">
        <v>113</v>
      </c>
      <c r="AG197" t="s">
        <v>114</v>
      </c>
    </row>
    <row r="198" spans="1:33" x14ac:dyDescent="0.25">
      <c r="A198" t="str">
        <f>"1669500898"</f>
        <v>1669500898</v>
      </c>
      <c r="B198" t="str">
        <f>"02663041"</f>
        <v>02663041</v>
      </c>
      <c r="C198" t="s">
        <v>964</v>
      </c>
      <c r="D198" t="s">
        <v>965</v>
      </c>
      <c r="E198" t="s">
        <v>966</v>
      </c>
      <c r="G198" t="s">
        <v>955</v>
      </c>
      <c r="H198" t="s">
        <v>956</v>
      </c>
      <c r="I198">
        <v>207</v>
      </c>
      <c r="J198" t="s">
        <v>957</v>
      </c>
      <c r="L198" t="s">
        <v>166</v>
      </c>
      <c r="M198" t="s">
        <v>107</v>
      </c>
      <c r="R198" t="s">
        <v>964</v>
      </c>
      <c r="W198" t="s">
        <v>967</v>
      </c>
      <c r="X198" t="s">
        <v>968</v>
      </c>
      <c r="Y198" t="s">
        <v>969</v>
      </c>
      <c r="Z198" t="s">
        <v>110</v>
      </c>
      <c r="AA198" t="str">
        <f>"11385-5230"</f>
        <v>11385-5230</v>
      </c>
      <c r="AB198" t="s">
        <v>172</v>
      </c>
      <c r="AC198" t="s">
        <v>112</v>
      </c>
      <c r="AD198" t="s">
        <v>107</v>
      </c>
      <c r="AE198" t="s">
        <v>113</v>
      </c>
      <c r="AG198" t="s">
        <v>114</v>
      </c>
    </row>
    <row r="199" spans="1:33" x14ac:dyDescent="0.25">
      <c r="B199" t="str">
        <f>"01448273"</f>
        <v>01448273</v>
      </c>
      <c r="C199" t="s">
        <v>970</v>
      </c>
      <c r="D199" t="s">
        <v>971</v>
      </c>
      <c r="E199" t="s">
        <v>970</v>
      </c>
      <c r="G199" t="s">
        <v>869</v>
      </c>
      <c r="H199" t="s">
        <v>870</v>
      </c>
      <c r="J199" t="s">
        <v>871</v>
      </c>
      <c r="L199" t="s">
        <v>67</v>
      </c>
      <c r="M199" t="s">
        <v>167</v>
      </c>
      <c r="W199" t="s">
        <v>970</v>
      </c>
      <c r="X199" t="s">
        <v>972</v>
      </c>
      <c r="Y199" t="s">
        <v>880</v>
      </c>
      <c r="Z199" t="s">
        <v>110</v>
      </c>
      <c r="AA199" t="str">
        <f>"11369-1333"</f>
        <v>11369-1333</v>
      </c>
      <c r="AB199" t="s">
        <v>546</v>
      </c>
      <c r="AC199" t="s">
        <v>112</v>
      </c>
      <c r="AD199" t="s">
        <v>107</v>
      </c>
      <c r="AE199" t="s">
        <v>113</v>
      </c>
      <c r="AG199" t="s">
        <v>114</v>
      </c>
    </row>
    <row r="200" spans="1:33" x14ac:dyDescent="0.25">
      <c r="A200" t="str">
        <f>"1639496284"</f>
        <v>1639496284</v>
      </c>
      <c r="B200" t="str">
        <f>"03687441"</f>
        <v>03687441</v>
      </c>
      <c r="C200" t="s">
        <v>973</v>
      </c>
      <c r="D200" t="s">
        <v>974</v>
      </c>
      <c r="E200" t="s">
        <v>973</v>
      </c>
      <c r="G200" t="s">
        <v>195</v>
      </c>
      <c r="H200" t="s">
        <v>196</v>
      </c>
      <c r="J200" t="s">
        <v>197</v>
      </c>
      <c r="L200" t="s">
        <v>166</v>
      </c>
      <c r="M200" t="s">
        <v>107</v>
      </c>
      <c r="R200" t="s">
        <v>973</v>
      </c>
      <c r="W200" t="s">
        <v>975</v>
      </c>
      <c r="X200" t="s">
        <v>311</v>
      </c>
      <c r="Y200" t="s">
        <v>225</v>
      </c>
      <c r="Z200" t="s">
        <v>110</v>
      </c>
      <c r="AA200" t="str">
        <f>"11355-5045"</f>
        <v>11355-5045</v>
      </c>
      <c r="AB200" t="s">
        <v>172</v>
      </c>
      <c r="AC200" t="s">
        <v>112</v>
      </c>
      <c r="AD200" t="s">
        <v>107</v>
      </c>
      <c r="AE200" t="s">
        <v>113</v>
      </c>
      <c r="AG200" t="s">
        <v>114</v>
      </c>
    </row>
    <row r="201" spans="1:33" x14ac:dyDescent="0.25">
      <c r="A201" t="str">
        <f>"1659409035"</f>
        <v>1659409035</v>
      </c>
      <c r="B201" t="str">
        <f>"01357271"</f>
        <v>01357271</v>
      </c>
      <c r="C201" t="s">
        <v>976</v>
      </c>
      <c r="D201" t="s">
        <v>977</v>
      </c>
      <c r="E201" t="s">
        <v>978</v>
      </c>
      <c r="G201" t="s">
        <v>195</v>
      </c>
      <c r="H201" t="s">
        <v>196</v>
      </c>
      <c r="J201" t="s">
        <v>197</v>
      </c>
      <c r="L201" t="s">
        <v>166</v>
      </c>
      <c r="M201" t="s">
        <v>107</v>
      </c>
      <c r="R201" t="s">
        <v>976</v>
      </c>
      <c r="W201" t="s">
        <v>978</v>
      </c>
      <c r="X201" t="s">
        <v>498</v>
      </c>
      <c r="Y201" t="s">
        <v>325</v>
      </c>
      <c r="Z201" t="s">
        <v>110</v>
      </c>
      <c r="AA201" t="str">
        <f>"10011-8305"</f>
        <v>10011-8305</v>
      </c>
      <c r="AB201" t="s">
        <v>172</v>
      </c>
      <c r="AC201" t="s">
        <v>112</v>
      </c>
      <c r="AD201" t="s">
        <v>107</v>
      </c>
      <c r="AE201" t="s">
        <v>113</v>
      </c>
      <c r="AG201" t="s">
        <v>114</v>
      </c>
    </row>
    <row r="202" spans="1:33" x14ac:dyDescent="0.25">
      <c r="A202" t="str">
        <f>"1750398327"</f>
        <v>1750398327</v>
      </c>
      <c r="C202" t="s">
        <v>979</v>
      </c>
      <c r="G202" t="s">
        <v>904</v>
      </c>
      <c r="H202" t="s">
        <v>905</v>
      </c>
      <c r="J202" t="s">
        <v>906</v>
      </c>
      <c r="K202" t="s">
        <v>980</v>
      </c>
      <c r="L202" t="s">
        <v>373</v>
      </c>
      <c r="M202" t="s">
        <v>107</v>
      </c>
      <c r="R202" t="s">
        <v>979</v>
      </c>
      <c r="S202" t="s">
        <v>981</v>
      </c>
      <c r="T202" t="s">
        <v>982</v>
      </c>
      <c r="U202" t="s">
        <v>110</v>
      </c>
      <c r="V202" t="str">
        <f>"11423"</f>
        <v>11423</v>
      </c>
      <c r="AC202" t="s">
        <v>112</v>
      </c>
      <c r="AD202" t="s">
        <v>107</v>
      </c>
      <c r="AE202" t="s">
        <v>278</v>
      </c>
      <c r="AG202" t="s">
        <v>114</v>
      </c>
    </row>
    <row r="203" spans="1:33" x14ac:dyDescent="0.25">
      <c r="A203" t="str">
        <f>"1285708099"</f>
        <v>1285708099</v>
      </c>
      <c r="B203" t="str">
        <f>"03062200"</f>
        <v>03062200</v>
      </c>
      <c r="C203" t="s">
        <v>983</v>
      </c>
      <c r="D203" t="s">
        <v>984</v>
      </c>
      <c r="E203" t="s">
        <v>985</v>
      </c>
      <c r="G203" t="s">
        <v>273</v>
      </c>
      <c r="H203" t="s">
        <v>274</v>
      </c>
      <c r="J203" t="s">
        <v>275</v>
      </c>
      <c r="L203" t="s">
        <v>117</v>
      </c>
      <c r="M203" t="s">
        <v>107</v>
      </c>
      <c r="R203" t="s">
        <v>983</v>
      </c>
      <c r="W203" t="s">
        <v>985</v>
      </c>
      <c r="X203" t="s">
        <v>986</v>
      </c>
      <c r="Y203" t="s">
        <v>325</v>
      </c>
      <c r="Z203" t="s">
        <v>110</v>
      </c>
      <c r="AA203" t="str">
        <f>"10128-3587"</f>
        <v>10128-3587</v>
      </c>
      <c r="AB203" t="s">
        <v>111</v>
      </c>
      <c r="AC203" t="s">
        <v>112</v>
      </c>
      <c r="AD203" t="s">
        <v>107</v>
      </c>
      <c r="AE203" t="s">
        <v>113</v>
      </c>
      <c r="AG203" t="s">
        <v>114</v>
      </c>
    </row>
    <row r="204" spans="1:33" x14ac:dyDescent="0.25">
      <c r="A204" t="str">
        <f>"1235360041"</f>
        <v>1235360041</v>
      </c>
      <c r="B204" t="str">
        <f>"03531248"</f>
        <v>03531248</v>
      </c>
      <c r="C204" t="s">
        <v>987</v>
      </c>
      <c r="D204" t="s">
        <v>988</v>
      </c>
      <c r="E204" t="s">
        <v>989</v>
      </c>
      <c r="G204" t="s">
        <v>465</v>
      </c>
      <c r="H204" t="s">
        <v>466</v>
      </c>
      <c r="J204" t="s">
        <v>467</v>
      </c>
      <c r="L204" t="s">
        <v>166</v>
      </c>
      <c r="M204" t="s">
        <v>107</v>
      </c>
      <c r="R204" t="s">
        <v>987</v>
      </c>
      <c r="W204" t="s">
        <v>989</v>
      </c>
      <c r="X204" t="s">
        <v>990</v>
      </c>
      <c r="Y204" t="s">
        <v>207</v>
      </c>
      <c r="Z204" t="s">
        <v>110</v>
      </c>
      <c r="AA204" t="str">
        <f>"11375-5592"</f>
        <v>11375-5592</v>
      </c>
      <c r="AB204" t="s">
        <v>172</v>
      </c>
      <c r="AC204" t="s">
        <v>112</v>
      </c>
      <c r="AD204" t="s">
        <v>107</v>
      </c>
      <c r="AE204" t="s">
        <v>113</v>
      </c>
      <c r="AG204" t="s">
        <v>114</v>
      </c>
    </row>
    <row r="205" spans="1:33" x14ac:dyDescent="0.25">
      <c r="A205" t="str">
        <f>"1215354220"</f>
        <v>1215354220</v>
      </c>
      <c r="B205" t="str">
        <f>"03916070"</f>
        <v>03916070</v>
      </c>
      <c r="C205" t="s">
        <v>991</v>
      </c>
      <c r="D205" t="s">
        <v>992</v>
      </c>
      <c r="E205" t="s">
        <v>991</v>
      </c>
      <c r="G205" t="s">
        <v>176</v>
      </c>
      <c r="H205" t="s">
        <v>177</v>
      </c>
      <c r="I205">
        <v>3264</v>
      </c>
      <c r="J205" t="s">
        <v>178</v>
      </c>
      <c r="L205" t="s">
        <v>106</v>
      </c>
      <c r="M205" t="s">
        <v>107</v>
      </c>
      <c r="R205" t="s">
        <v>991</v>
      </c>
      <c r="W205" t="s">
        <v>991</v>
      </c>
      <c r="X205" t="s">
        <v>993</v>
      </c>
      <c r="Y205" t="s">
        <v>325</v>
      </c>
      <c r="Z205" t="s">
        <v>110</v>
      </c>
      <c r="AA205" t="str">
        <f>"10029"</f>
        <v>10029</v>
      </c>
      <c r="AB205" t="s">
        <v>111</v>
      </c>
      <c r="AC205" t="s">
        <v>112</v>
      </c>
      <c r="AD205" t="s">
        <v>107</v>
      </c>
      <c r="AE205" t="s">
        <v>113</v>
      </c>
      <c r="AG205" t="s">
        <v>114</v>
      </c>
    </row>
    <row r="206" spans="1:33" x14ac:dyDescent="0.25">
      <c r="A206" t="str">
        <f>"1053404749"</f>
        <v>1053404749</v>
      </c>
      <c r="B206" t="str">
        <f>"01847332"</f>
        <v>01847332</v>
      </c>
      <c r="C206" t="s">
        <v>994</v>
      </c>
      <c r="D206" t="s">
        <v>995</v>
      </c>
      <c r="E206" t="s">
        <v>996</v>
      </c>
      <c r="G206" t="s">
        <v>997</v>
      </c>
      <c r="H206" t="s">
        <v>998</v>
      </c>
      <c r="I206">
        <v>5736</v>
      </c>
      <c r="J206" t="s">
        <v>999</v>
      </c>
      <c r="L206" t="s">
        <v>117</v>
      </c>
      <c r="M206" t="s">
        <v>107</v>
      </c>
      <c r="R206" t="s">
        <v>994</v>
      </c>
      <c r="W206" t="s">
        <v>996</v>
      </c>
      <c r="X206" t="s">
        <v>1000</v>
      </c>
      <c r="Y206" t="s">
        <v>1001</v>
      </c>
      <c r="Z206" t="s">
        <v>110</v>
      </c>
      <c r="AA206" t="str">
        <f>"11691"</f>
        <v>11691</v>
      </c>
      <c r="AB206" t="s">
        <v>172</v>
      </c>
      <c r="AC206" t="s">
        <v>112</v>
      </c>
      <c r="AD206" t="s">
        <v>107</v>
      </c>
      <c r="AE206" t="s">
        <v>113</v>
      </c>
      <c r="AG206" t="s">
        <v>114</v>
      </c>
    </row>
    <row r="207" spans="1:33" x14ac:dyDescent="0.25">
      <c r="A207" t="str">
        <f>"1417049123"</f>
        <v>1417049123</v>
      </c>
      <c r="B207" t="str">
        <f>"01897194"</f>
        <v>01897194</v>
      </c>
      <c r="C207" t="s">
        <v>1002</v>
      </c>
      <c r="D207" t="s">
        <v>1003</v>
      </c>
      <c r="E207" t="s">
        <v>1004</v>
      </c>
      <c r="G207" t="s">
        <v>203</v>
      </c>
      <c r="H207" t="s">
        <v>204</v>
      </c>
      <c r="J207" t="s">
        <v>205</v>
      </c>
      <c r="L207" t="s">
        <v>215</v>
      </c>
      <c r="M207" t="s">
        <v>107</v>
      </c>
      <c r="R207" t="s">
        <v>1002</v>
      </c>
      <c r="W207" t="s">
        <v>1004</v>
      </c>
      <c r="X207" t="s">
        <v>1005</v>
      </c>
      <c r="Y207" t="s">
        <v>1006</v>
      </c>
      <c r="Z207" t="s">
        <v>110</v>
      </c>
      <c r="AA207" t="str">
        <f>"10308-2025"</f>
        <v>10308-2025</v>
      </c>
      <c r="AB207" t="s">
        <v>172</v>
      </c>
      <c r="AC207" t="s">
        <v>112</v>
      </c>
      <c r="AD207" t="s">
        <v>107</v>
      </c>
      <c r="AE207" t="s">
        <v>113</v>
      </c>
      <c r="AG207" t="s">
        <v>114</v>
      </c>
    </row>
    <row r="208" spans="1:33" x14ac:dyDescent="0.25">
      <c r="A208" t="str">
        <f>"1659306892"</f>
        <v>1659306892</v>
      </c>
      <c r="B208" t="str">
        <f>"01890477"</f>
        <v>01890477</v>
      </c>
      <c r="C208" t="s">
        <v>1007</v>
      </c>
      <c r="D208" t="s">
        <v>1008</v>
      </c>
      <c r="E208" t="s">
        <v>1009</v>
      </c>
      <c r="G208" t="s">
        <v>195</v>
      </c>
      <c r="H208" t="s">
        <v>196</v>
      </c>
      <c r="J208" t="s">
        <v>197</v>
      </c>
      <c r="L208" t="s">
        <v>166</v>
      </c>
      <c r="M208" t="s">
        <v>107</v>
      </c>
      <c r="R208" t="s">
        <v>1007</v>
      </c>
      <c r="W208" t="s">
        <v>1009</v>
      </c>
      <c r="X208" t="s">
        <v>1010</v>
      </c>
      <c r="Y208" t="s">
        <v>200</v>
      </c>
      <c r="Z208" t="s">
        <v>110</v>
      </c>
      <c r="AA208" t="str">
        <f>"11372-1144"</f>
        <v>11372-1144</v>
      </c>
      <c r="AB208" t="s">
        <v>172</v>
      </c>
      <c r="AC208" t="s">
        <v>112</v>
      </c>
      <c r="AD208" t="s">
        <v>107</v>
      </c>
      <c r="AE208" t="s">
        <v>113</v>
      </c>
      <c r="AG208" t="s">
        <v>114</v>
      </c>
    </row>
    <row r="209" spans="1:33" x14ac:dyDescent="0.25">
      <c r="A209" t="str">
        <f>"1720174212"</f>
        <v>1720174212</v>
      </c>
      <c r="B209" t="str">
        <f>"00965462"</f>
        <v>00965462</v>
      </c>
      <c r="C209" t="s">
        <v>1011</v>
      </c>
      <c r="D209" t="s">
        <v>1012</v>
      </c>
      <c r="E209" t="s">
        <v>1013</v>
      </c>
      <c r="G209" t="s">
        <v>273</v>
      </c>
      <c r="H209" t="s">
        <v>274</v>
      </c>
      <c r="J209" t="s">
        <v>275</v>
      </c>
      <c r="L209" t="s">
        <v>117</v>
      </c>
      <c r="M209" t="s">
        <v>107</v>
      </c>
      <c r="R209" t="s">
        <v>1011</v>
      </c>
      <c r="W209" t="s">
        <v>1013</v>
      </c>
      <c r="X209" t="s">
        <v>1014</v>
      </c>
      <c r="Y209" t="s">
        <v>207</v>
      </c>
      <c r="Z209" t="s">
        <v>110</v>
      </c>
      <c r="AA209" t="str">
        <f>"11375-4043"</f>
        <v>11375-4043</v>
      </c>
      <c r="AB209" t="s">
        <v>172</v>
      </c>
      <c r="AC209" t="s">
        <v>112</v>
      </c>
      <c r="AD209" t="s">
        <v>107</v>
      </c>
      <c r="AE209" t="s">
        <v>113</v>
      </c>
      <c r="AG209" t="s">
        <v>114</v>
      </c>
    </row>
    <row r="210" spans="1:33" x14ac:dyDescent="0.25">
      <c r="A210" t="str">
        <f>"1962719989"</f>
        <v>1962719989</v>
      </c>
      <c r="C210" t="s">
        <v>1015</v>
      </c>
      <c r="G210" t="s">
        <v>273</v>
      </c>
      <c r="H210" t="s">
        <v>274</v>
      </c>
      <c r="J210" t="s">
        <v>275</v>
      </c>
      <c r="K210" t="s">
        <v>276</v>
      </c>
      <c r="L210" t="s">
        <v>106</v>
      </c>
      <c r="M210" t="s">
        <v>107</v>
      </c>
      <c r="R210" t="s">
        <v>1015</v>
      </c>
      <c r="S210" t="s">
        <v>1016</v>
      </c>
      <c r="T210" t="s">
        <v>325</v>
      </c>
      <c r="U210" t="s">
        <v>110</v>
      </c>
      <c r="V210" t="str">
        <f>"100335849"</f>
        <v>100335849</v>
      </c>
      <c r="AC210" t="s">
        <v>112</v>
      </c>
      <c r="AD210" t="s">
        <v>107</v>
      </c>
      <c r="AE210" t="s">
        <v>278</v>
      </c>
      <c r="AG210" t="s">
        <v>114</v>
      </c>
    </row>
    <row r="211" spans="1:33" x14ac:dyDescent="0.25">
      <c r="A211" t="str">
        <f>"1881775856"</f>
        <v>1881775856</v>
      </c>
      <c r="B211" t="str">
        <f>"02668055"</f>
        <v>02668055</v>
      </c>
      <c r="C211" t="s">
        <v>1017</v>
      </c>
      <c r="D211" t="s">
        <v>1018</v>
      </c>
      <c r="E211" t="s">
        <v>1019</v>
      </c>
      <c r="G211" t="s">
        <v>212</v>
      </c>
      <c r="H211" t="s">
        <v>213</v>
      </c>
      <c r="J211" t="s">
        <v>214</v>
      </c>
      <c r="L211" t="s">
        <v>166</v>
      </c>
      <c r="M211" t="s">
        <v>167</v>
      </c>
      <c r="R211" t="s">
        <v>1017</v>
      </c>
      <c r="W211" t="s">
        <v>1019</v>
      </c>
      <c r="X211" t="s">
        <v>1020</v>
      </c>
      <c r="Y211" t="s">
        <v>183</v>
      </c>
      <c r="Z211" t="s">
        <v>110</v>
      </c>
      <c r="AA211" t="str">
        <f>"10457-7606"</f>
        <v>10457-7606</v>
      </c>
      <c r="AB211" t="s">
        <v>172</v>
      </c>
      <c r="AC211" t="s">
        <v>112</v>
      </c>
      <c r="AD211" t="s">
        <v>107</v>
      </c>
      <c r="AE211" t="s">
        <v>113</v>
      </c>
      <c r="AG211" t="s">
        <v>114</v>
      </c>
    </row>
    <row r="212" spans="1:33" x14ac:dyDescent="0.25">
      <c r="A212" t="str">
        <f>"1063584811"</f>
        <v>1063584811</v>
      </c>
      <c r="B212" t="str">
        <f>"02791633"</f>
        <v>02791633</v>
      </c>
      <c r="C212" t="s">
        <v>1021</v>
      </c>
      <c r="D212" t="s">
        <v>1022</v>
      </c>
      <c r="E212" t="s">
        <v>1023</v>
      </c>
      <c r="G212" t="s">
        <v>394</v>
      </c>
      <c r="H212" t="s">
        <v>395</v>
      </c>
      <c r="J212" t="s">
        <v>396</v>
      </c>
      <c r="L212" t="s">
        <v>315</v>
      </c>
      <c r="M212" t="s">
        <v>107</v>
      </c>
      <c r="R212" t="s">
        <v>1021</v>
      </c>
      <c r="W212" t="s">
        <v>1023</v>
      </c>
      <c r="X212" t="s">
        <v>1024</v>
      </c>
      <c r="Y212" t="s">
        <v>1001</v>
      </c>
      <c r="Z212" t="s">
        <v>110</v>
      </c>
      <c r="AA212" t="str">
        <f>"11691-1042"</f>
        <v>11691-1042</v>
      </c>
      <c r="AB212" t="s">
        <v>172</v>
      </c>
      <c r="AC212" t="s">
        <v>112</v>
      </c>
      <c r="AD212" t="s">
        <v>107</v>
      </c>
      <c r="AE212" t="s">
        <v>113</v>
      </c>
      <c r="AG212" t="s">
        <v>114</v>
      </c>
    </row>
    <row r="213" spans="1:33" x14ac:dyDescent="0.25">
      <c r="A213" t="str">
        <f>"1477710978"</f>
        <v>1477710978</v>
      </c>
      <c r="B213" t="str">
        <f>"03504056"</f>
        <v>03504056</v>
      </c>
      <c r="C213" t="s">
        <v>1025</v>
      </c>
      <c r="D213" t="s">
        <v>1026</v>
      </c>
      <c r="E213" t="s">
        <v>1025</v>
      </c>
      <c r="G213" t="s">
        <v>1027</v>
      </c>
      <c r="H213" t="s">
        <v>1028</v>
      </c>
      <c r="J213" t="s">
        <v>1029</v>
      </c>
      <c r="L213" t="s">
        <v>117</v>
      </c>
      <c r="M213" t="s">
        <v>107</v>
      </c>
      <c r="R213" t="s">
        <v>1025</v>
      </c>
      <c r="W213" t="s">
        <v>1025</v>
      </c>
      <c r="X213" t="s">
        <v>1030</v>
      </c>
      <c r="Y213" t="s">
        <v>1031</v>
      </c>
      <c r="Z213" t="s">
        <v>110</v>
      </c>
      <c r="AA213" t="str">
        <f>"11554-1859"</f>
        <v>11554-1859</v>
      </c>
      <c r="AB213" t="s">
        <v>172</v>
      </c>
      <c r="AC213" t="s">
        <v>112</v>
      </c>
      <c r="AD213" t="s">
        <v>107</v>
      </c>
      <c r="AE213" t="s">
        <v>113</v>
      </c>
      <c r="AG213" t="s">
        <v>114</v>
      </c>
    </row>
    <row r="214" spans="1:33" x14ac:dyDescent="0.25">
      <c r="A214" t="str">
        <f>"1295746139"</f>
        <v>1295746139</v>
      </c>
      <c r="B214" t="str">
        <f>"00339831"</f>
        <v>00339831</v>
      </c>
      <c r="C214" t="s">
        <v>1032</v>
      </c>
      <c r="D214" t="s">
        <v>1033</v>
      </c>
      <c r="E214" t="s">
        <v>1034</v>
      </c>
      <c r="G214" t="s">
        <v>251</v>
      </c>
      <c r="H214" t="s">
        <v>252</v>
      </c>
      <c r="I214">
        <v>215</v>
      </c>
      <c r="J214" t="s">
        <v>253</v>
      </c>
      <c r="L214" t="s">
        <v>215</v>
      </c>
      <c r="M214" t="s">
        <v>107</v>
      </c>
      <c r="R214" t="s">
        <v>1032</v>
      </c>
      <c r="W214" t="s">
        <v>1034</v>
      </c>
      <c r="X214" t="s">
        <v>1024</v>
      </c>
      <c r="Y214" t="s">
        <v>1001</v>
      </c>
      <c r="Z214" t="s">
        <v>110</v>
      </c>
      <c r="AA214" t="str">
        <f>"11691-1074"</f>
        <v>11691-1074</v>
      </c>
      <c r="AB214" t="s">
        <v>172</v>
      </c>
      <c r="AC214" t="s">
        <v>112</v>
      </c>
      <c r="AD214" t="s">
        <v>107</v>
      </c>
      <c r="AE214" t="s">
        <v>113</v>
      </c>
      <c r="AG214" t="s">
        <v>114</v>
      </c>
    </row>
    <row r="215" spans="1:33" x14ac:dyDescent="0.25">
      <c r="A215" t="str">
        <f>"1083837157"</f>
        <v>1083837157</v>
      </c>
      <c r="B215" t="str">
        <f>"00310985"</f>
        <v>00310985</v>
      </c>
      <c r="C215" t="s">
        <v>1035</v>
      </c>
      <c r="D215" t="s">
        <v>1036</v>
      </c>
      <c r="E215" t="s">
        <v>1037</v>
      </c>
      <c r="G215" t="s">
        <v>229</v>
      </c>
      <c r="H215" t="s">
        <v>230</v>
      </c>
      <c r="J215" t="s">
        <v>231</v>
      </c>
      <c r="L215" t="s">
        <v>405</v>
      </c>
      <c r="M215" t="s">
        <v>167</v>
      </c>
      <c r="R215" t="s">
        <v>864</v>
      </c>
      <c r="W215" t="s">
        <v>1037</v>
      </c>
      <c r="X215" t="s">
        <v>234</v>
      </c>
      <c r="Y215" t="s">
        <v>235</v>
      </c>
      <c r="Z215" t="s">
        <v>110</v>
      </c>
      <c r="AA215" t="str">
        <f>"11360-2810"</f>
        <v>11360-2810</v>
      </c>
      <c r="AB215" t="s">
        <v>408</v>
      </c>
      <c r="AC215" t="s">
        <v>112</v>
      </c>
      <c r="AD215" t="s">
        <v>107</v>
      </c>
      <c r="AE215" t="s">
        <v>113</v>
      </c>
      <c r="AG215" t="s">
        <v>114</v>
      </c>
    </row>
    <row r="216" spans="1:33" x14ac:dyDescent="0.25">
      <c r="A216" t="str">
        <f>"1063635142"</f>
        <v>1063635142</v>
      </c>
      <c r="B216" t="str">
        <f>"01783504"</f>
        <v>01783504</v>
      </c>
      <c r="C216" t="s">
        <v>1038</v>
      </c>
      <c r="D216" t="s">
        <v>1039</v>
      </c>
      <c r="E216" t="s">
        <v>1040</v>
      </c>
      <c r="G216" t="s">
        <v>229</v>
      </c>
      <c r="H216" t="s">
        <v>230</v>
      </c>
      <c r="J216" t="s">
        <v>231</v>
      </c>
      <c r="L216" t="s">
        <v>67</v>
      </c>
      <c r="M216" t="s">
        <v>107</v>
      </c>
      <c r="R216" t="s">
        <v>1041</v>
      </c>
      <c r="W216" t="s">
        <v>1042</v>
      </c>
      <c r="X216" t="s">
        <v>1043</v>
      </c>
      <c r="Y216" t="s">
        <v>399</v>
      </c>
      <c r="Z216" t="s">
        <v>110</v>
      </c>
      <c r="AA216" t="str">
        <f>"11042-1109"</f>
        <v>11042-1109</v>
      </c>
      <c r="AB216" t="s">
        <v>1044</v>
      </c>
      <c r="AC216" t="s">
        <v>112</v>
      </c>
      <c r="AD216" t="s">
        <v>107</v>
      </c>
      <c r="AE216" t="s">
        <v>113</v>
      </c>
      <c r="AG216" t="s">
        <v>114</v>
      </c>
    </row>
    <row r="217" spans="1:33" x14ac:dyDescent="0.25">
      <c r="A217" t="str">
        <f>"1376898775"</f>
        <v>1376898775</v>
      </c>
      <c r="B217" t="str">
        <f>"03484879"</f>
        <v>03484879</v>
      </c>
      <c r="C217" t="s">
        <v>1045</v>
      </c>
      <c r="D217" t="s">
        <v>1046</v>
      </c>
      <c r="E217" t="s">
        <v>1047</v>
      </c>
      <c r="G217" t="s">
        <v>212</v>
      </c>
      <c r="H217" t="s">
        <v>213</v>
      </c>
      <c r="J217" t="s">
        <v>214</v>
      </c>
      <c r="L217" t="s">
        <v>166</v>
      </c>
      <c r="M217" t="s">
        <v>167</v>
      </c>
      <c r="R217" t="s">
        <v>1045</v>
      </c>
      <c r="W217" t="s">
        <v>1048</v>
      </c>
      <c r="X217" t="s">
        <v>441</v>
      </c>
      <c r="Y217" t="s">
        <v>422</v>
      </c>
      <c r="Z217" t="s">
        <v>110</v>
      </c>
      <c r="AA217" t="str">
        <f>"11435-4721"</f>
        <v>11435-4721</v>
      </c>
      <c r="AB217" t="s">
        <v>172</v>
      </c>
      <c r="AC217" t="s">
        <v>112</v>
      </c>
      <c r="AD217" t="s">
        <v>107</v>
      </c>
      <c r="AE217" t="s">
        <v>113</v>
      </c>
      <c r="AG217" t="s">
        <v>114</v>
      </c>
    </row>
    <row r="218" spans="1:33" x14ac:dyDescent="0.25">
      <c r="A218" t="str">
        <f>"1528103397"</f>
        <v>1528103397</v>
      </c>
      <c r="B218" t="str">
        <f>"00754889"</f>
        <v>00754889</v>
      </c>
      <c r="C218" t="s">
        <v>1049</v>
      </c>
      <c r="D218" t="s">
        <v>1050</v>
      </c>
      <c r="E218" t="s">
        <v>1051</v>
      </c>
      <c r="G218" t="s">
        <v>289</v>
      </c>
      <c r="H218" t="s">
        <v>290</v>
      </c>
      <c r="J218" t="s">
        <v>291</v>
      </c>
      <c r="L218" t="s">
        <v>215</v>
      </c>
      <c r="M218" t="s">
        <v>107</v>
      </c>
      <c r="R218" t="s">
        <v>1049</v>
      </c>
      <c r="W218" t="s">
        <v>1051</v>
      </c>
      <c r="X218" t="s">
        <v>1052</v>
      </c>
      <c r="Y218" t="s">
        <v>183</v>
      </c>
      <c r="Z218" t="s">
        <v>110</v>
      </c>
      <c r="AA218" t="str">
        <f>"10463-3992"</f>
        <v>10463-3992</v>
      </c>
      <c r="AB218" t="s">
        <v>172</v>
      </c>
      <c r="AC218" t="s">
        <v>112</v>
      </c>
      <c r="AD218" t="s">
        <v>107</v>
      </c>
      <c r="AE218" t="s">
        <v>113</v>
      </c>
      <c r="AG218" t="s">
        <v>114</v>
      </c>
    </row>
    <row r="219" spans="1:33" x14ac:dyDescent="0.25">
      <c r="C219" t="s">
        <v>1053</v>
      </c>
      <c r="G219" t="s">
        <v>1054</v>
      </c>
      <c r="H219" t="s">
        <v>1055</v>
      </c>
      <c r="J219" t="s">
        <v>1056</v>
      </c>
      <c r="K219" t="s">
        <v>1057</v>
      </c>
      <c r="L219" t="s">
        <v>711</v>
      </c>
      <c r="M219" t="s">
        <v>107</v>
      </c>
      <c r="N219" t="s">
        <v>1058</v>
      </c>
      <c r="O219" t="s">
        <v>1059</v>
      </c>
      <c r="P219" t="s">
        <v>110</v>
      </c>
      <c r="Q219" t="str">
        <f>"10467"</f>
        <v>10467</v>
      </c>
      <c r="AC219" t="s">
        <v>112</v>
      </c>
      <c r="AD219" t="s">
        <v>107</v>
      </c>
      <c r="AE219" t="s">
        <v>713</v>
      </c>
      <c r="AG219" t="s">
        <v>114</v>
      </c>
    </row>
    <row r="220" spans="1:33" x14ac:dyDescent="0.25">
      <c r="C220" t="s">
        <v>1060</v>
      </c>
      <c r="G220" t="s">
        <v>1054</v>
      </c>
      <c r="H220" t="s">
        <v>1055</v>
      </c>
      <c r="J220" t="s">
        <v>1056</v>
      </c>
      <c r="K220" t="s">
        <v>1057</v>
      </c>
      <c r="L220" t="s">
        <v>711</v>
      </c>
      <c r="M220" t="s">
        <v>107</v>
      </c>
      <c r="N220" t="s">
        <v>1061</v>
      </c>
      <c r="O220" t="s">
        <v>1059</v>
      </c>
      <c r="P220" t="s">
        <v>110</v>
      </c>
      <c r="Q220" t="str">
        <f>"10467"</f>
        <v>10467</v>
      </c>
      <c r="AC220" t="s">
        <v>112</v>
      </c>
      <c r="AD220" t="s">
        <v>107</v>
      </c>
      <c r="AE220" t="s">
        <v>713</v>
      </c>
      <c r="AG220" t="s">
        <v>114</v>
      </c>
    </row>
    <row r="221" spans="1:33" x14ac:dyDescent="0.25">
      <c r="A221" t="str">
        <f>"1699708255"</f>
        <v>1699708255</v>
      </c>
      <c r="B221" t="str">
        <f>"01090835"</f>
        <v>01090835</v>
      </c>
      <c r="C221" t="s">
        <v>1062</v>
      </c>
      <c r="D221" t="s">
        <v>1063</v>
      </c>
      <c r="E221" t="s">
        <v>1064</v>
      </c>
      <c r="G221" t="s">
        <v>1054</v>
      </c>
      <c r="H221" t="s">
        <v>1055</v>
      </c>
      <c r="J221" t="s">
        <v>1056</v>
      </c>
      <c r="L221" t="s">
        <v>405</v>
      </c>
      <c r="M221" t="s">
        <v>167</v>
      </c>
      <c r="R221" t="s">
        <v>1065</v>
      </c>
      <c r="W221" t="s">
        <v>1064</v>
      </c>
      <c r="X221" t="s">
        <v>1066</v>
      </c>
      <c r="Y221" t="s">
        <v>1067</v>
      </c>
      <c r="Z221" t="s">
        <v>110</v>
      </c>
      <c r="AA221" t="str">
        <f>"10606-2438"</f>
        <v>10606-2438</v>
      </c>
      <c r="AB221" t="s">
        <v>408</v>
      </c>
      <c r="AC221" t="s">
        <v>112</v>
      </c>
      <c r="AD221" t="s">
        <v>107</v>
      </c>
      <c r="AE221" t="s">
        <v>113</v>
      </c>
      <c r="AG221" t="s">
        <v>114</v>
      </c>
    </row>
    <row r="222" spans="1:33" x14ac:dyDescent="0.25">
      <c r="A222" t="str">
        <f>"1972525418"</f>
        <v>1972525418</v>
      </c>
      <c r="B222" t="str">
        <f>"01178954"</f>
        <v>01178954</v>
      </c>
      <c r="C222" t="s">
        <v>1068</v>
      </c>
      <c r="D222" t="s">
        <v>1069</v>
      </c>
      <c r="E222" t="s">
        <v>1070</v>
      </c>
      <c r="G222" t="s">
        <v>251</v>
      </c>
      <c r="H222" t="s">
        <v>252</v>
      </c>
      <c r="I222">
        <v>215</v>
      </c>
      <c r="J222" t="s">
        <v>253</v>
      </c>
      <c r="L222" t="s">
        <v>215</v>
      </c>
      <c r="M222" t="s">
        <v>107</v>
      </c>
      <c r="R222" t="s">
        <v>1068</v>
      </c>
      <c r="W222" t="s">
        <v>1070</v>
      </c>
      <c r="X222" t="s">
        <v>1071</v>
      </c>
      <c r="Y222" t="s">
        <v>1072</v>
      </c>
      <c r="Z222" t="s">
        <v>110</v>
      </c>
      <c r="AA222" t="str">
        <f>"11581-1015"</f>
        <v>11581-1015</v>
      </c>
      <c r="AB222" t="s">
        <v>217</v>
      </c>
      <c r="AC222" t="s">
        <v>112</v>
      </c>
      <c r="AD222" t="s">
        <v>107</v>
      </c>
      <c r="AE222" t="s">
        <v>113</v>
      </c>
      <c r="AG222" t="s">
        <v>114</v>
      </c>
    </row>
    <row r="223" spans="1:33" x14ac:dyDescent="0.25">
      <c r="A223" t="str">
        <f>"1972647410"</f>
        <v>1972647410</v>
      </c>
      <c r="B223" t="str">
        <f>"02924330"</f>
        <v>02924330</v>
      </c>
      <c r="C223" t="s">
        <v>1073</v>
      </c>
      <c r="D223" t="s">
        <v>1074</v>
      </c>
      <c r="E223" t="s">
        <v>1075</v>
      </c>
      <c r="G223" t="s">
        <v>212</v>
      </c>
      <c r="H223" t="s">
        <v>213</v>
      </c>
      <c r="J223" t="s">
        <v>214</v>
      </c>
      <c r="L223" t="s">
        <v>215</v>
      </c>
      <c r="M223" t="s">
        <v>167</v>
      </c>
      <c r="R223" t="s">
        <v>1073</v>
      </c>
      <c r="W223" t="s">
        <v>1075</v>
      </c>
      <c r="X223" t="s">
        <v>1076</v>
      </c>
      <c r="Y223" t="s">
        <v>982</v>
      </c>
      <c r="Z223" t="s">
        <v>110</v>
      </c>
      <c r="AA223" t="str">
        <f>"11423-2511"</f>
        <v>11423-2511</v>
      </c>
      <c r="AB223" t="s">
        <v>1044</v>
      </c>
      <c r="AC223" t="s">
        <v>112</v>
      </c>
      <c r="AD223" t="s">
        <v>107</v>
      </c>
      <c r="AE223" t="s">
        <v>113</v>
      </c>
      <c r="AG223" t="s">
        <v>114</v>
      </c>
    </row>
    <row r="224" spans="1:33" x14ac:dyDescent="0.25">
      <c r="A224" t="str">
        <f>"1417040627"</f>
        <v>1417040627</v>
      </c>
      <c r="B224" t="str">
        <f>"01879047"</f>
        <v>01879047</v>
      </c>
      <c r="C224" t="s">
        <v>1077</v>
      </c>
      <c r="D224" t="s">
        <v>1078</v>
      </c>
      <c r="E224" t="s">
        <v>1079</v>
      </c>
      <c r="G224" t="s">
        <v>195</v>
      </c>
      <c r="H224" t="s">
        <v>196</v>
      </c>
      <c r="J224" t="s">
        <v>197</v>
      </c>
      <c r="L224" t="s">
        <v>166</v>
      </c>
      <c r="M224" t="s">
        <v>167</v>
      </c>
      <c r="R224" t="s">
        <v>1077</v>
      </c>
      <c r="W224" t="s">
        <v>1079</v>
      </c>
      <c r="X224" t="s">
        <v>1080</v>
      </c>
      <c r="Y224" t="s">
        <v>183</v>
      </c>
      <c r="Z224" t="s">
        <v>110</v>
      </c>
      <c r="AA224" t="str">
        <f>"10451-3499"</f>
        <v>10451-3499</v>
      </c>
      <c r="AB224" t="s">
        <v>172</v>
      </c>
      <c r="AC224" t="s">
        <v>112</v>
      </c>
      <c r="AD224" t="s">
        <v>107</v>
      </c>
      <c r="AE224" t="s">
        <v>113</v>
      </c>
      <c r="AG224" t="s">
        <v>114</v>
      </c>
    </row>
    <row r="225" spans="1:33" x14ac:dyDescent="0.25">
      <c r="A225" t="str">
        <f>"1477636389"</f>
        <v>1477636389</v>
      </c>
      <c r="B225" t="str">
        <f>"01937315"</f>
        <v>01937315</v>
      </c>
      <c r="C225" t="s">
        <v>1081</v>
      </c>
      <c r="D225" t="s">
        <v>1082</v>
      </c>
      <c r="E225" t="s">
        <v>1083</v>
      </c>
      <c r="G225" t="s">
        <v>402</v>
      </c>
      <c r="H225" t="s">
        <v>403</v>
      </c>
      <c r="J225" t="s">
        <v>404</v>
      </c>
      <c r="L225" t="s">
        <v>166</v>
      </c>
      <c r="M225" t="s">
        <v>107</v>
      </c>
      <c r="R225" t="s">
        <v>1081</v>
      </c>
      <c r="W225" t="s">
        <v>1083</v>
      </c>
      <c r="X225" t="s">
        <v>1084</v>
      </c>
      <c r="Y225" t="s">
        <v>207</v>
      </c>
      <c r="Z225" t="s">
        <v>110</v>
      </c>
      <c r="AA225" t="str">
        <f>"11375-3371"</f>
        <v>11375-3371</v>
      </c>
      <c r="AB225" t="s">
        <v>172</v>
      </c>
      <c r="AC225" t="s">
        <v>112</v>
      </c>
      <c r="AD225" t="s">
        <v>107</v>
      </c>
      <c r="AE225" t="s">
        <v>113</v>
      </c>
      <c r="AG225" t="s">
        <v>114</v>
      </c>
    </row>
    <row r="226" spans="1:33" x14ac:dyDescent="0.25">
      <c r="B226" t="str">
        <f>"03191848"</f>
        <v>03191848</v>
      </c>
      <c r="C226" t="s">
        <v>1085</v>
      </c>
      <c r="D226" t="s">
        <v>1086</v>
      </c>
      <c r="E226" t="s">
        <v>1085</v>
      </c>
      <c r="G226" t="s">
        <v>1087</v>
      </c>
      <c r="H226" t="s">
        <v>1088</v>
      </c>
      <c r="J226" t="s">
        <v>1089</v>
      </c>
      <c r="L226" t="s">
        <v>67</v>
      </c>
      <c r="M226" t="s">
        <v>107</v>
      </c>
      <c r="W226" t="s">
        <v>1085</v>
      </c>
      <c r="X226" t="s">
        <v>1090</v>
      </c>
      <c r="Y226" t="s">
        <v>325</v>
      </c>
      <c r="Z226" t="s">
        <v>110</v>
      </c>
      <c r="AA226" t="str">
        <f>"10018-6507"</f>
        <v>10018-6507</v>
      </c>
      <c r="AB226" t="s">
        <v>546</v>
      </c>
      <c r="AC226" t="s">
        <v>112</v>
      </c>
      <c r="AD226" t="s">
        <v>107</v>
      </c>
      <c r="AE226" t="s">
        <v>113</v>
      </c>
      <c r="AG226" t="s">
        <v>114</v>
      </c>
    </row>
    <row r="227" spans="1:33" x14ac:dyDescent="0.25">
      <c r="A227" t="str">
        <f>"1114952124"</f>
        <v>1114952124</v>
      </c>
      <c r="B227" t="str">
        <f>"01459778"</f>
        <v>01459778</v>
      </c>
      <c r="C227" t="s">
        <v>1091</v>
      </c>
      <c r="D227" t="s">
        <v>1092</v>
      </c>
      <c r="E227" t="s">
        <v>1093</v>
      </c>
      <c r="G227" t="s">
        <v>1094</v>
      </c>
      <c r="H227" t="s">
        <v>1095</v>
      </c>
      <c r="I227">
        <v>273</v>
      </c>
      <c r="J227" t="s">
        <v>1096</v>
      </c>
      <c r="L227" t="s">
        <v>117</v>
      </c>
      <c r="M227" t="s">
        <v>107</v>
      </c>
      <c r="R227" t="s">
        <v>1097</v>
      </c>
      <c r="W227" t="s">
        <v>1098</v>
      </c>
      <c r="X227" t="s">
        <v>1099</v>
      </c>
      <c r="Y227" t="s">
        <v>171</v>
      </c>
      <c r="Z227" t="s">
        <v>110</v>
      </c>
      <c r="AA227" t="str">
        <f>"11373-5150"</f>
        <v>11373-5150</v>
      </c>
      <c r="AB227" t="s">
        <v>606</v>
      </c>
      <c r="AC227" t="s">
        <v>112</v>
      </c>
      <c r="AD227" t="s">
        <v>107</v>
      </c>
      <c r="AE227" t="s">
        <v>113</v>
      </c>
      <c r="AG227" t="s">
        <v>114</v>
      </c>
    </row>
    <row r="228" spans="1:33" x14ac:dyDescent="0.25">
      <c r="A228" t="str">
        <f>"1174774418"</f>
        <v>1174774418</v>
      </c>
      <c r="B228" t="str">
        <f>"03295181"</f>
        <v>03295181</v>
      </c>
      <c r="C228" t="s">
        <v>1100</v>
      </c>
      <c r="D228" t="s">
        <v>1101</v>
      </c>
      <c r="E228" t="s">
        <v>1102</v>
      </c>
      <c r="G228" t="s">
        <v>1094</v>
      </c>
      <c r="H228" t="s">
        <v>1095</v>
      </c>
      <c r="I228">
        <v>273</v>
      </c>
      <c r="J228" t="s">
        <v>1096</v>
      </c>
      <c r="L228" t="s">
        <v>117</v>
      </c>
      <c r="M228" t="s">
        <v>107</v>
      </c>
      <c r="R228" t="s">
        <v>1103</v>
      </c>
      <c r="W228" t="s">
        <v>1104</v>
      </c>
      <c r="X228" t="s">
        <v>1105</v>
      </c>
      <c r="Y228" t="s">
        <v>1106</v>
      </c>
      <c r="Z228" t="s">
        <v>110</v>
      </c>
      <c r="AA228" t="str">
        <f>"11563-2501"</f>
        <v>11563-2501</v>
      </c>
      <c r="AB228" t="s">
        <v>606</v>
      </c>
      <c r="AC228" t="s">
        <v>112</v>
      </c>
      <c r="AD228" t="s">
        <v>107</v>
      </c>
      <c r="AE228" t="s">
        <v>113</v>
      </c>
      <c r="AG228" t="s">
        <v>114</v>
      </c>
    </row>
    <row r="229" spans="1:33" x14ac:dyDescent="0.25">
      <c r="A229" t="str">
        <f>"1831222090"</f>
        <v>1831222090</v>
      </c>
      <c r="B229" t="str">
        <f>"02976332"</f>
        <v>02976332</v>
      </c>
      <c r="C229" t="s">
        <v>1107</v>
      </c>
      <c r="D229" t="s">
        <v>1108</v>
      </c>
      <c r="E229" t="s">
        <v>1109</v>
      </c>
      <c r="G229" t="s">
        <v>1094</v>
      </c>
      <c r="H229" t="s">
        <v>1095</v>
      </c>
      <c r="I229">
        <v>273</v>
      </c>
      <c r="J229" t="s">
        <v>1096</v>
      </c>
      <c r="L229" t="s">
        <v>215</v>
      </c>
      <c r="M229" t="s">
        <v>107</v>
      </c>
      <c r="R229" t="s">
        <v>1110</v>
      </c>
      <c r="W229" t="s">
        <v>1111</v>
      </c>
      <c r="X229" t="s">
        <v>1112</v>
      </c>
      <c r="Y229" t="s">
        <v>325</v>
      </c>
      <c r="Z229" t="s">
        <v>110</v>
      </c>
      <c r="AA229" t="str">
        <f>"10028-1802"</f>
        <v>10028-1802</v>
      </c>
      <c r="AB229" t="s">
        <v>217</v>
      </c>
      <c r="AC229" t="s">
        <v>112</v>
      </c>
      <c r="AD229" t="s">
        <v>107</v>
      </c>
      <c r="AE229" t="s">
        <v>113</v>
      </c>
      <c r="AG229" t="s">
        <v>114</v>
      </c>
    </row>
    <row r="230" spans="1:33" x14ac:dyDescent="0.25">
      <c r="A230" t="str">
        <f>"1427001650"</f>
        <v>1427001650</v>
      </c>
      <c r="B230" t="str">
        <f>"01898255"</f>
        <v>01898255</v>
      </c>
      <c r="C230" t="s">
        <v>1113</v>
      </c>
      <c r="D230" t="s">
        <v>1114</v>
      </c>
      <c r="E230" t="s">
        <v>1115</v>
      </c>
      <c r="G230" t="s">
        <v>1094</v>
      </c>
      <c r="H230" t="s">
        <v>1095</v>
      </c>
      <c r="I230">
        <v>273</v>
      </c>
      <c r="J230" t="s">
        <v>1096</v>
      </c>
      <c r="L230" t="s">
        <v>117</v>
      </c>
      <c r="M230" t="s">
        <v>107</v>
      </c>
      <c r="R230" t="s">
        <v>1116</v>
      </c>
      <c r="W230" t="s">
        <v>1117</v>
      </c>
      <c r="X230" t="s">
        <v>1118</v>
      </c>
      <c r="Y230" t="s">
        <v>399</v>
      </c>
      <c r="Z230" t="s">
        <v>110</v>
      </c>
      <c r="AA230" t="str">
        <f>"11040-1436"</f>
        <v>11040-1436</v>
      </c>
      <c r="AB230" t="s">
        <v>606</v>
      </c>
      <c r="AC230" t="s">
        <v>112</v>
      </c>
      <c r="AD230" t="s">
        <v>107</v>
      </c>
      <c r="AE230" t="s">
        <v>113</v>
      </c>
      <c r="AG230" t="s">
        <v>114</v>
      </c>
    </row>
    <row r="231" spans="1:33" x14ac:dyDescent="0.25">
      <c r="A231" t="str">
        <f>"1477599660"</f>
        <v>1477599660</v>
      </c>
      <c r="B231" t="str">
        <f>"02054364"</f>
        <v>02054364</v>
      </c>
      <c r="C231" t="s">
        <v>1119</v>
      </c>
      <c r="D231" t="s">
        <v>1120</v>
      </c>
      <c r="E231" t="s">
        <v>1121</v>
      </c>
      <c r="G231" t="s">
        <v>1094</v>
      </c>
      <c r="H231" t="s">
        <v>1095</v>
      </c>
      <c r="I231">
        <v>273</v>
      </c>
      <c r="J231" t="s">
        <v>1096</v>
      </c>
      <c r="L231" t="s">
        <v>117</v>
      </c>
      <c r="M231" t="s">
        <v>107</v>
      </c>
      <c r="R231" t="s">
        <v>1122</v>
      </c>
      <c r="W231" t="s">
        <v>1121</v>
      </c>
      <c r="X231" t="s">
        <v>1123</v>
      </c>
      <c r="Y231" t="s">
        <v>422</v>
      </c>
      <c r="Z231" t="s">
        <v>110</v>
      </c>
      <c r="AA231" t="str">
        <f>"11435-3109"</f>
        <v>11435-3109</v>
      </c>
      <c r="AB231" t="s">
        <v>606</v>
      </c>
      <c r="AC231" t="s">
        <v>112</v>
      </c>
      <c r="AD231" t="s">
        <v>107</v>
      </c>
      <c r="AE231" t="s">
        <v>113</v>
      </c>
      <c r="AG231" t="s">
        <v>114</v>
      </c>
    </row>
    <row r="232" spans="1:33" x14ac:dyDescent="0.25">
      <c r="A232" t="str">
        <f>"1316381197"</f>
        <v>1316381197</v>
      </c>
      <c r="B232" t="str">
        <f>"02204511"</f>
        <v>02204511</v>
      </c>
      <c r="C232" t="s">
        <v>1124</v>
      </c>
      <c r="D232" t="s">
        <v>1125</v>
      </c>
      <c r="E232" t="s">
        <v>1126</v>
      </c>
      <c r="G232" t="s">
        <v>1094</v>
      </c>
      <c r="H232" t="s">
        <v>1095</v>
      </c>
      <c r="I232">
        <v>273</v>
      </c>
      <c r="J232" t="s">
        <v>1096</v>
      </c>
      <c r="L232" t="s">
        <v>117</v>
      </c>
      <c r="M232" t="s">
        <v>107</v>
      </c>
      <c r="R232" t="s">
        <v>1126</v>
      </c>
      <c r="W232" t="s">
        <v>1126</v>
      </c>
      <c r="X232" t="s">
        <v>1105</v>
      </c>
      <c r="Y232" t="s">
        <v>1106</v>
      </c>
      <c r="Z232" t="s">
        <v>110</v>
      </c>
      <c r="AA232" t="str">
        <f>"11563-2501"</f>
        <v>11563-2501</v>
      </c>
      <c r="AB232" t="s">
        <v>606</v>
      </c>
      <c r="AC232" t="s">
        <v>112</v>
      </c>
      <c r="AD232" t="s">
        <v>107</v>
      </c>
      <c r="AE232" t="s">
        <v>113</v>
      </c>
      <c r="AG232" t="s">
        <v>114</v>
      </c>
    </row>
    <row r="233" spans="1:33" x14ac:dyDescent="0.25">
      <c r="A233" t="str">
        <f>"1871532853"</f>
        <v>1871532853</v>
      </c>
      <c r="B233" t="str">
        <f>"01997617"</f>
        <v>01997617</v>
      </c>
      <c r="C233" t="s">
        <v>1127</v>
      </c>
      <c r="D233" t="s">
        <v>1128</v>
      </c>
      <c r="E233" t="s">
        <v>1129</v>
      </c>
      <c r="G233" t="s">
        <v>1094</v>
      </c>
      <c r="H233" t="s">
        <v>1095</v>
      </c>
      <c r="I233">
        <v>273</v>
      </c>
      <c r="J233" t="s">
        <v>1096</v>
      </c>
      <c r="L233" t="s">
        <v>117</v>
      </c>
      <c r="M233" t="s">
        <v>107</v>
      </c>
      <c r="R233" t="s">
        <v>1130</v>
      </c>
      <c r="W233" t="s">
        <v>1131</v>
      </c>
      <c r="X233" t="s">
        <v>1132</v>
      </c>
      <c r="Y233" t="s">
        <v>325</v>
      </c>
      <c r="Z233" t="s">
        <v>110</v>
      </c>
      <c r="AA233" t="str">
        <f>"10123-0101"</f>
        <v>10123-0101</v>
      </c>
      <c r="AB233" t="s">
        <v>606</v>
      </c>
      <c r="AC233" t="s">
        <v>112</v>
      </c>
      <c r="AD233" t="s">
        <v>107</v>
      </c>
      <c r="AE233" t="s">
        <v>113</v>
      </c>
      <c r="AG233" t="s">
        <v>114</v>
      </c>
    </row>
    <row r="234" spans="1:33" x14ac:dyDescent="0.25">
      <c r="A234" t="str">
        <f>"1952323164"</f>
        <v>1952323164</v>
      </c>
      <c r="B234" t="str">
        <f>"01655229"</f>
        <v>01655229</v>
      </c>
      <c r="C234" t="s">
        <v>1133</v>
      </c>
      <c r="D234" t="s">
        <v>1134</v>
      </c>
      <c r="E234" t="s">
        <v>1135</v>
      </c>
      <c r="G234" t="s">
        <v>1094</v>
      </c>
      <c r="H234" t="s">
        <v>1095</v>
      </c>
      <c r="I234">
        <v>273</v>
      </c>
      <c r="J234" t="s">
        <v>1096</v>
      </c>
      <c r="L234" t="s">
        <v>117</v>
      </c>
      <c r="M234" t="s">
        <v>107</v>
      </c>
      <c r="R234" t="s">
        <v>1136</v>
      </c>
      <c r="W234" t="s">
        <v>1135</v>
      </c>
      <c r="X234" t="s">
        <v>1137</v>
      </c>
      <c r="Y234" t="s">
        <v>481</v>
      </c>
      <c r="Z234" t="s">
        <v>110</v>
      </c>
      <c r="AA234" t="str">
        <f>"11429"</f>
        <v>11429</v>
      </c>
      <c r="AB234" t="s">
        <v>606</v>
      </c>
      <c r="AC234" t="s">
        <v>112</v>
      </c>
      <c r="AD234" t="s">
        <v>107</v>
      </c>
      <c r="AE234" t="s">
        <v>113</v>
      </c>
      <c r="AG234" t="s">
        <v>114</v>
      </c>
    </row>
    <row r="235" spans="1:33" x14ac:dyDescent="0.25">
      <c r="A235" t="str">
        <f>"1831478171"</f>
        <v>1831478171</v>
      </c>
      <c r="B235" t="str">
        <f>"03377075"</f>
        <v>03377075</v>
      </c>
      <c r="C235" t="s">
        <v>1138</v>
      </c>
      <c r="D235" t="s">
        <v>1139</v>
      </c>
      <c r="E235" t="s">
        <v>1140</v>
      </c>
      <c r="G235" t="s">
        <v>1094</v>
      </c>
      <c r="H235" t="s">
        <v>1095</v>
      </c>
      <c r="I235">
        <v>273</v>
      </c>
      <c r="J235" t="s">
        <v>1096</v>
      </c>
      <c r="L235" t="s">
        <v>117</v>
      </c>
      <c r="M235" t="s">
        <v>107</v>
      </c>
      <c r="R235" t="s">
        <v>1141</v>
      </c>
      <c r="W235" t="s">
        <v>1142</v>
      </c>
      <c r="X235" t="s">
        <v>1105</v>
      </c>
      <c r="Y235" t="s">
        <v>1106</v>
      </c>
      <c r="Z235" t="s">
        <v>110</v>
      </c>
      <c r="AA235" t="str">
        <f>"11563-2501"</f>
        <v>11563-2501</v>
      </c>
      <c r="AB235" t="s">
        <v>606</v>
      </c>
      <c r="AC235" t="s">
        <v>112</v>
      </c>
      <c r="AD235" t="s">
        <v>107</v>
      </c>
      <c r="AE235" t="s">
        <v>113</v>
      </c>
      <c r="AG235" t="s">
        <v>114</v>
      </c>
    </row>
    <row r="236" spans="1:33" x14ac:dyDescent="0.25">
      <c r="A236" t="str">
        <f>"1487625810"</f>
        <v>1487625810</v>
      </c>
      <c r="B236" t="str">
        <f>"00703122"</f>
        <v>00703122</v>
      </c>
      <c r="C236" t="s">
        <v>1143</v>
      </c>
      <c r="D236" t="s">
        <v>1144</v>
      </c>
      <c r="E236" t="s">
        <v>1145</v>
      </c>
      <c r="G236" t="s">
        <v>1094</v>
      </c>
      <c r="H236" t="s">
        <v>1095</v>
      </c>
      <c r="I236">
        <v>273</v>
      </c>
      <c r="J236" t="s">
        <v>1096</v>
      </c>
      <c r="L236" t="s">
        <v>117</v>
      </c>
      <c r="M236" t="s">
        <v>107</v>
      </c>
      <c r="R236" t="s">
        <v>1146</v>
      </c>
      <c r="W236" t="s">
        <v>1145</v>
      </c>
      <c r="X236" t="s">
        <v>1147</v>
      </c>
      <c r="Y236" t="s">
        <v>1006</v>
      </c>
      <c r="Z236" t="s">
        <v>110</v>
      </c>
      <c r="AA236" t="str">
        <f>"10301-2709"</f>
        <v>10301-2709</v>
      </c>
      <c r="AB236" t="s">
        <v>172</v>
      </c>
      <c r="AC236" t="s">
        <v>112</v>
      </c>
      <c r="AD236" t="s">
        <v>107</v>
      </c>
      <c r="AE236" t="s">
        <v>113</v>
      </c>
      <c r="AG236" t="s">
        <v>114</v>
      </c>
    </row>
    <row r="237" spans="1:33" x14ac:dyDescent="0.25">
      <c r="A237" t="str">
        <f>"1952316606"</f>
        <v>1952316606</v>
      </c>
      <c r="B237" t="str">
        <f>"02625170"</f>
        <v>02625170</v>
      </c>
      <c r="C237" t="s">
        <v>1148</v>
      </c>
      <c r="D237" t="s">
        <v>1149</v>
      </c>
      <c r="E237" t="s">
        <v>1150</v>
      </c>
      <c r="G237" t="s">
        <v>1094</v>
      </c>
      <c r="H237" t="s">
        <v>1095</v>
      </c>
      <c r="I237">
        <v>273</v>
      </c>
      <c r="J237" t="s">
        <v>1096</v>
      </c>
      <c r="L237" t="s">
        <v>117</v>
      </c>
      <c r="M237" t="s">
        <v>107</v>
      </c>
      <c r="R237" t="s">
        <v>1151</v>
      </c>
      <c r="W237" t="s">
        <v>1150</v>
      </c>
      <c r="X237" t="s">
        <v>1020</v>
      </c>
      <c r="Y237" t="s">
        <v>183</v>
      </c>
      <c r="Z237" t="s">
        <v>110</v>
      </c>
      <c r="AA237" t="str">
        <f>"10457-7606"</f>
        <v>10457-7606</v>
      </c>
      <c r="AB237" t="s">
        <v>172</v>
      </c>
      <c r="AC237" t="s">
        <v>112</v>
      </c>
      <c r="AD237" t="s">
        <v>107</v>
      </c>
      <c r="AE237" t="s">
        <v>113</v>
      </c>
      <c r="AG237" t="s">
        <v>114</v>
      </c>
    </row>
    <row r="238" spans="1:33" x14ac:dyDescent="0.25">
      <c r="A238" t="str">
        <f>"1912134396"</f>
        <v>1912134396</v>
      </c>
      <c r="B238" t="str">
        <f>"03321831"</f>
        <v>03321831</v>
      </c>
      <c r="C238" t="s">
        <v>1152</v>
      </c>
      <c r="D238" t="s">
        <v>1153</v>
      </c>
      <c r="E238" t="s">
        <v>1152</v>
      </c>
      <c r="G238" t="s">
        <v>103</v>
      </c>
      <c r="H238" t="s">
        <v>104</v>
      </c>
      <c r="J238" t="s">
        <v>105</v>
      </c>
      <c r="L238" t="s">
        <v>117</v>
      </c>
      <c r="M238" t="s">
        <v>107</v>
      </c>
      <c r="R238" t="s">
        <v>1152</v>
      </c>
      <c r="W238" t="s">
        <v>1152</v>
      </c>
      <c r="X238" t="s">
        <v>119</v>
      </c>
      <c r="Y238" t="s">
        <v>109</v>
      </c>
      <c r="Z238" t="s">
        <v>110</v>
      </c>
      <c r="AA238" t="str">
        <f>"11374-2259"</f>
        <v>11374-2259</v>
      </c>
      <c r="AB238" t="s">
        <v>111</v>
      </c>
      <c r="AC238" t="s">
        <v>112</v>
      </c>
      <c r="AD238" t="s">
        <v>107</v>
      </c>
      <c r="AE238" t="s">
        <v>113</v>
      </c>
      <c r="AG238" t="s">
        <v>114</v>
      </c>
    </row>
    <row r="239" spans="1:33" x14ac:dyDescent="0.25">
      <c r="A239" t="str">
        <f>"1275873036"</f>
        <v>1275873036</v>
      </c>
      <c r="C239" t="s">
        <v>1154</v>
      </c>
      <c r="G239" t="s">
        <v>1155</v>
      </c>
      <c r="H239" t="s">
        <v>1156</v>
      </c>
      <c r="J239" t="s">
        <v>1157</v>
      </c>
      <c r="K239" t="s">
        <v>276</v>
      </c>
      <c r="L239" t="s">
        <v>106</v>
      </c>
      <c r="M239" t="s">
        <v>107</v>
      </c>
      <c r="R239" t="s">
        <v>1154</v>
      </c>
      <c r="S239" t="s">
        <v>1158</v>
      </c>
      <c r="T239" t="s">
        <v>1159</v>
      </c>
      <c r="U239" t="s">
        <v>110</v>
      </c>
      <c r="V239" t="str">
        <f>"113773050"</f>
        <v>113773050</v>
      </c>
      <c r="AC239" t="s">
        <v>112</v>
      </c>
      <c r="AD239" t="s">
        <v>107</v>
      </c>
      <c r="AE239" t="s">
        <v>278</v>
      </c>
      <c r="AG239" t="s">
        <v>114</v>
      </c>
    </row>
    <row r="240" spans="1:33" x14ac:dyDescent="0.25">
      <c r="A240" t="str">
        <f>"1144397514"</f>
        <v>1144397514</v>
      </c>
      <c r="B240" t="str">
        <f>"00898857"</f>
        <v>00898857</v>
      </c>
      <c r="C240" t="s">
        <v>1160</v>
      </c>
      <c r="D240" t="s">
        <v>1161</v>
      </c>
      <c r="E240" t="s">
        <v>1162</v>
      </c>
      <c r="G240" t="s">
        <v>1163</v>
      </c>
      <c r="H240" t="s">
        <v>1164</v>
      </c>
      <c r="I240">
        <v>202</v>
      </c>
      <c r="J240" t="s">
        <v>1165</v>
      </c>
      <c r="L240" t="s">
        <v>117</v>
      </c>
      <c r="M240" t="s">
        <v>107</v>
      </c>
      <c r="R240" t="s">
        <v>1160</v>
      </c>
      <c r="W240" t="s">
        <v>1160</v>
      </c>
      <c r="X240" t="s">
        <v>1166</v>
      </c>
      <c r="Y240" t="s">
        <v>294</v>
      </c>
      <c r="Z240" t="s">
        <v>110</v>
      </c>
      <c r="AA240" t="str">
        <f>"11570-3712"</f>
        <v>11570-3712</v>
      </c>
      <c r="AB240" t="s">
        <v>172</v>
      </c>
      <c r="AC240" t="s">
        <v>112</v>
      </c>
      <c r="AD240" t="s">
        <v>107</v>
      </c>
      <c r="AE240" t="s">
        <v>113</v>
      </c>
      <c r="AG240" t="s">
        <v>114</v>
      </c>
    </row>
    <row r="241" spans="1:33" x14ac:dyDescent="0.25">
      <c r="A241" t="str">
        <f>"1033301916"</f>
        <v>1033301916</v>
      </c>
      <c r="B241" t="str">
        <f>"03173562"</f>
        <v>03173562</v>
      </c>
      <c r="C241" t="s">
        <v>1167</v>
      </c>
      <c r="D241" t="s">
        <v>1168</v>
      </c>
      <c r="E241" t="s">
        <v>1169</v>
      </c>
      <c r="G241" t="s">
        <v>997</v>
      </c>
      <c r="H241" t="s">
        <v>998</v>
      </c>
      <c r="I241">
        <v>5736</v>
      </c>
      <c r="J241" t="s">
        <v>999</v>
      </c>
      <c r="L241" t="s">
        <v>117</v>
      </c>
      <c r="M241" t="s">
        <v>107</v>
      </c>
      <c r="R241" t="s">
        <v>1167</v>
      </c>
      <c r="W241" t="s">
        <v>1169</v>
      </c>
      <c r="X241" t="s">
        <v>1170</v>
      </c>
      <c r="Y241" t="s">
        <v>422</v>
      </c>
      <c r="Z241" t="s">
        <v>110</v>
      </c>
      <c r="AA241" t="str">
        <f>"11432-5733"</f>
        <v>11432-5733</v>
      </c>
      <c r="AB241" t="s">
        <v>111</v>
      </c>
      <c r="AC241" t="s">
        <v>112</v>
      </c>
      <c r="AD241" t="s">
        <v>107</v>
      </c>
      <c r="AE241" t="s">
        <v>113</v>
      </c>
      <c r="AG241" t="s">
        <v>114</v>
      </c>
    </row>
    <row r="242" spans="1:33" x14ac:dyDescent="0.25">
      <c r="A242" t="str">
        <f>"1568619070"</f>
        <v>1568619070</v>
      </c>
      <c r="B242" t="str">
        <f>"03173411"</f>
        <v>03173411</v>
      </c>
      <c r="C242" t="s">
        <v>1171</v>
      </c>
      <c r="D242" t="s">
        <v>1172</v>
      </c>
      <c r="E242" t="s">
        <v>1173</v>
      </c>
      <c r="G242" t="s">
        <v>997</v>
      </c>
      <c r="H242" t="s">
        <v>998</v>
      </c>
      <c r="I242">
        <v>5736</v>
      </c>
      <c r="J242" t="s">
        <v>999</v>
      </c>
      <c r="L242" t="s">
        <v>117</v>
      </c>
      <c r="M242" t="s">
        <v>107</v>
      </c>
      <c r="R242" t="s">
        <v>1171</v>
      </c>
      <c r="W242" t="s">
        <v>1173</v>
      </c>
      <c r="X242" t="s">
        <v>1170</v>
      </c>
      <c r="Y242" t="s">
        <v>422</v>
      </c>
      <c r="Z242" t="s">
        <v>110</v>
      </c>
      <c r="AA242" t="str">
        <f>"11432-5733"</f>
        <v>11432-5733</v>
      </c>
      <c r="AB242" t="s">
        <v>111</v>
      </c>
      <c r="AC242" t="s">
        <v>112</v>
      </c>
      <c r="AD242" t="s">
        <v>107</v>
      </c>
      <c r="AE242" t="s">
        <v>113</v>
      </c>
      <c r="AG242" t="s">
        <v>114</v>
      </c>
    </row>
    <row r="243" spans="1:33" x14ac:dyDescent="0.25">
      <c r="A243" t="str">
        <f>"1912155219"</f>
        <v>1912155219</v>
      </c>
      <c r="C243" t="s">
        <v>1174</v>
      </c>
      <c r="G243" t="s">
        <v>997</v>
      </c>
      <c r="H243" t="s">
        <v>998</v>
      </c>
      <c r="I243">
        <v>5736</v>
      </c>
      <c r="J243" t="s">
        <v>999</v>
      </c>
      <c r="K243" t="s">
        <v>276</v>
      </c>
      <c r="L243" t="s">
        <v>106</v>
      </c>
      <c r="M243" t="s">
        <v>107</v>
      </c>
      <c r="R243" t="s">
        <v>1174</v>
      </c>
      <c r="S243" t="s">
        <v>1175</v>
      </c>
      <c r="T243" t="s">
        <v>207</v>
      </c>
      <c r="U243" t="s">
        <v>110</v>
      </c>
      <c r="V243" t="str">
        <f>"113753366"</f>
        <v>113753366</v>
      </c>
      <c r="AC243" t="s">
        <v>112</v>
      </c>
      <c r="AD243" t="s">
        <v>107</v>
      </c>
      <c r="AE243" t="s">
        <v>278</v>
      </c>
      <c r="AG243" t="s">
        <v>114</v>
      </c>
    </row>
    <row r="244" spans="1:33" x14ac:dyDescent="0.25">
      <c r="A244" t="str">
        <f>"1245487826"</f>
        <v>1245487826</v>
      </c>
      <c r="C244" t="s">
        <v>1176</v>
      </c>
      <c r="G244" t="s">
        <v>997</v>
      </c>
      <c r="H244" t="s">
        <v>998</v>
      </c>
      <c r="I244">
        <v>5736</v>
      </c>
      <c r="J244" t="s">
        <v>999</v>
      </c>
      <c r="K244" t="s">
        <v>276</v>
      </c>
      <c r="L244" t="s">
        <v>106</v>
      </c>
      <c r="M244" t="s">
        <v>107</v>
      </c>
      <c r="R244" t="s">
        <v>1176</v>
      </c>
      <c r="S244" t="s">
        <v>1177</v>
      </c>
      <c r="T244" t="s">
        <v>207</v>
      </c>
      <c r="U244" t="s">
        <v>110</v>
      </c>
      <c r="V244" t="str">
        <f>"113755578"</f>
        <v>113755578</v>
      </c>
      <c r="AC244" t="s">
        <v>112</v>
      </c>
      <c r="AD244" t="s">
        <v>107</v>
      </c>
      <c r="AE244" t="s">
        <v>278</v>
      </c>
      <c r="AG244" t="s">
        <v>114</v>
      </c>
    </row>
    <row r="245" spans="1:33" x14ac:dyDescent="0.25">
      <c r="A245" t="str">
        <f>"1003114851"</f>
        <v>1003114851</v>
      </c>
      <c r="B245" t="str">
        <f>"03368581"</f>
        <v>03368581</v>
      </c>
      <c r="C245" t="s">
        <v>1178</v>
      </c>
      <c r="D245" t="s">
        <v>1179</v>
      </c>
      <c r="E245" t="s">
        <v>1180</v>
      </c>
      <c r="G245" t="s">
        <v>682</v>
      </c>
      <c r="H245" t="s">
        <v>683</v>
      </c>
      <c r="J245" t="s">
        <v>684</v>
      </c>
      <c r="L245" t="s">
        <v>67</v>
      </c>
      <c r="M245" t="s">
        <v>107</v>
      </c>
      <c r="R245" t="s">
        <v>1178</v>
      </c>
      <c r="W245" t="s">
        <v>1180</v>
      </c>
      <c r="X245" t="s">
        <v>1181</v>
      </c>
      <c r="Y245" t="s">
        <v>647</v>
      </c>
      <c r="Z245" t="s">
        <v>110</v>
      </c>
      <c r="AA245" t="str">
        <f>"11365-1454"</f>
        <v>11365-1454</v>
      </c>
      <c r="AB245" t="s">
        <v>208</v>
      </c>
      <c r="AC245" t="s">
        <v>112</v>
      </c>
      <c r="AD245" t="s">
        <v>107</v>
      </c>
      <c r="AE245" t="s">
        <v>113</v>
      </c>
      <c r="AG245" t="s">
        <v>114</v>
      </c>
    </row>
    <row r="246" spans="1:33" x14ac:dyDescent="0.25">
      <c r="A246" t="str">
        <f>"1235191685"</f>
        <v>1235191685</v>
      </c>
      <c r="B246" t="str">
        <f>"01053956"</f>
        <v>01053956</v>
      </c>
      <c r="C246" t="s">
        <v>1182</v>
      </c>
      <c r="D246" t="s">
        <v>1183</v>
      </c>
      <c r="E246" t="s">
        <v>1184</v>
      </c>
      <c r="G246" t="s">
        <v>203</v>
      </c>
      <c r="H246" t="s">
        <v>204</v>
      </c>
      <c r="J246" t="s">
        <v>205</v>
      </c>
      <c r="L246" t="s">
        <v>166</v>
      </c>
      <c r="M246" t="s">
        <v>107</v>
      </c>
      <c r="R246" t="s">
        <v>1182</v>
      </c>
      <c r="W246" t="s">
        <v>1185</v>
      </c>
      <c r="X246" t="s">
        <v>1186</v>
      </c>
      <c r="Y246" t="s">
        <v>422</v>
      </c>
      <c r="Z246" t="s">
        <v>110</v>
      </c>
      <c r="AA246" t="str">
        <f>"11432"</f>
        <v>11432</v>
      </c>
      <c r="AB246" t="s">
        <v>172</v>
      </c>
      <c r="AC246" t="s">
        <v>112</v>
      </c>
      <c r="AD246" t="s">
        <v>107</v>
      </c>
      <c r="AE246" t="s">
        <v>113</v>
      </c>
      <c r="AG246" t="s">
        <v>114</v>
      </c>
    </row>
    <row r="247" spans="1:33" x14ac:dyDescent="0.25">
      <c r="A247" t="str">
        <f>"1669724787"</f>
        <v>1669724787</v>
      </c>
      <c r="C247" t="s">
        <v>1187</v>
      </c>
      <c r="G247" t="s">
        <v>273</v>
      </c>
      <c r="H247" t="s">
        <v>274</v>
      </c>
      <c r="J247" t="s">
        <v>275</v>
      </c>
      <c r="K247" t="s">
        <v>276</v>
      </c>
      <c r="L247" t="s">
        <v>373</v>
      </c>
      <c r="M247" t="s">
        <v>107</v>
      </c>
      <c r="R247" t="s">
        <v>1188</v>
      </c>
      <c r="S247" t="s">
        <v>1189</v>
      </c>
      <c r="T247" t="s">
        <v>1190</v>
      </c>
      <c r="U247" t="s">
        <v>1191</v>
      </c>
      <c r="V247" t="str">
        <f>"334045003"</f>
        <v>334045003</v>
      </c>
      <c r="AC247" t="s">
        <v>112</v>
      </c>
      <c r="AD247" t="s">
        <v>107</v>
      </c>
      <c r="AE247" t="s">
        <v>278</v>
      </c>
      <c r="AG247" t="s">
        <v>114</v>
      </c>
    </row>
    <row r="248" spans="1:33" x14ac:dyDescent="0.25">
      <c r="A248" t="str">
        <f>"1194889097"</f>
        <v>1194889097</v>
      </c>
      <c r="B248" t="str">
        <f>"02994627"</f>
        <v>02994627</v>
      </c>
      <c r="C248" t="s">
        <v>1192</v>
      </c>
      <c r="D248" t="s">
        <v>1193</v>
      </c>
      <c r="E248" t="s">
        <v>1194</v>
      </c>
      <c r="G248" t="s">
        <v>289</v>
      </c>
      <c r="H248" t="s">
        <v>290</v>
      </c>
      <c r="J248" t="s">
        <v>291</v>
      </c>
      <c r="L248" t="s">
        <v>13</v>
      </c>
      <c r="M248" t="s">
        <v>107</v>
      </c>
      <c r="R248" t="s">
        <v>1192</v>
      </c>
      <c r="W248" t="s">
        <v>792</v>
      </c>
      <c r="X248" t="s">
        <v>1195</v>
      </c>
      <c r="Y248" t="s">
        <v>481</v>
      </c>
      <c r="Z248" t="s">
        <v>110</v>
      </c>
      <c r="AA248" t="str">
        <f>"11427-2193"</f>
        <v>11427-2193</v>
      </c>
      <c r="AB248" t="s">
        <v>184</v>
      </c>
      <c r="AC248" t="s">
        <v>112</v>
      </c>
      <c r="AD248" t="s">
        <v>107</v>
      </c>
      <c r="AE248" t="s">
        <v>113</v>
      </c>
      <c r="AG248" t="s">
        <v>114</v>
      </c>
    </row>
    <row r="249" spans="1:33" x14ac:dyDescent="0.25">
      <c r="A249" t="str">
        <f>"1215999040"</f>
        <v>1215999040</v>
      </c>
      <c r="B249" t="str">
        <f>"02795540"</f>
        <v>02795540</v>
      </c>
      <c r="C249" t="s">
        <v>1196</v>
      </c>
      <c r="D249" t="s">
        <v>1197</v>
      </c>
      <c r="E249" t="s">
        <v>1196</v>
      </c>
      <c r="G249" t="s">
        <v>176</v>
      </c>
      <c r="H249" t="s">
        <v>177</v>
      </c>
      <c r="I249">
        <v>3264</v>
      </c>
      <c r="J249" t="s">
        <v>178</v>
      </c>
      <c r="L249" t="s">
        <v>117</v>
      </c>
      <c r="M249" t="s">
        <v>107</v>
      </c>
      <c r="R249" t="s">
        <v>1196</v>
      </c>
      <c r="W249" t="s">
        <v>1198</v>
      </c>
      <c r="X249" t="s">
        <v>1199</v>
      </c>
      <c r="Y249" t="s">
        <v>422</v>
      </c>
      <c r="Z249" t="s">
        <v>110</v>
      </c>
      <c r="AA249" t="str">
        <f>"11435-5022"</f>
        <v>11435-5022</v>
      </c>
      <c r="AB249" t="s">
        <v>172</v>
      </c>
      <c r="AC249" t="s">
        <v>112</v>
      </c>
      <c r="AD249" t="s">
        <v>107</v>
      </c>
      <c r="AE249" t="s">
        <v>113</v>
      </c>
      <c r="AG249" t="s">
        <v>114</v>
      </c>
    </row>
    <row r="250" spans="1:33" x14ac:dyDescent="0.25">
      <c r="A250" t="str">
        <f>"1831414242"</f>
        <v>1831414242</v>
      </c>
      <c r="C250" t="s">
        <v>1200</v>
      </c>
      <c r="G250" t="s">
        <v>289</v>
      </c>
      <c r="H250" t="s">
        <v>290</v>
      </c>
      <c r="J250" t="s">
        <v>291</v>
      </c>
      <c r="K250" t="s">
        <v>749</v>
      </c>
      <c r="L250" t="s">
        <v>373</v>
      </c>
      <c r="M250" t="s">
        <v>107</v>
      </c>
      <c r="R250" t="s">
        <v>1200</v>
      </c>
      <c r="S250" t="s">
        <v>1201</v>
      </c>
      <c r="T250" t="s">
        <v>481</v>
      </c>
      <c r="U250" t="s">
        <v>110</v>
      </c>
      <c r="V250" t="str">
        <f>"114272193"</f>
        <v>114272193</v>
      </c>
      <c r="AC250" t="s">
        <v>112</v>
      </c>
      <c r="AD250" t="s">
        <v>107</v>
      </c>
      <c r="AE250" t="s">
        <v>278</v>
      </c>
      <c r="AG250" t="s">
        <v>114</v>
      </c>
    </row>
    <row r="251" spans="1:33" x14ac:dyDescent="0.25">
      <c r="A251" t="str">
        <f>"1598920464"</f>
        <v>1598920464</v>
      </c>
      <c r="C251" t="s">
        <v>1202</v>
      </c>
      <c r="G251" t="s">
        <v>289</v>
      </c>
      <c r="H251" t="s">
        <v>290</v>
      </c>
      <c r="J251" t="s">
        <v>291</v>
      </c>
      <c r="K251" t="s">
        <v>749</v>
      </c>
      <c r="L251" t="s">
        <v>373</v>
      </c>
      <c r="M251" t="s">
        <v>107</v>
      </c>
      <c r="R251" t="s">
        <v>1202</v>
      </c>
      <c r="S251" t="s">
        <v>1203</v>
      </c>
      <c r="T251" t="s">
        <v>183</v>
      </c>
      <c r="U251" t="s">
        <v>110</v>
      </c>
      <c r="V251" t="str">
        <f>"104651510"</f>
        <v>104651510</v>
      </c>
      <c r="AC251" t="s">
        <v>112</v>
      </c>
      <c r="AD251" t="s">
        <v>107</v>
      </c>
      <c r="AE251" t="s">
        <v>278</v>
      </c>
      <c r="AG251" t="s">
        <v>114</v>
      </c>
    </row>
    <row r="252" spans="1:33" x14ac:dyDescent="0.25">
      <c r="A252" t="str">
        <f>"1912221706"</f>
        <v>1912221706</v>
      </c>
      <c r="C252" t="s">
        <v>1204</v>
      </c>
      <c r="G252" t="s">
        <v>289</v>
      </c>
      <c r="H252" t="s">
        <v>290</v>
      </c>
      <c r="J252" t="s">
        <v>291</v>
      </c>
      <c r="K252" t="s">
        <v>749</v>
      </c>
      <c r="L252" t="s">
        <v>373</v>
      </c>
      <c r="M252" t="s">
        <v>107</v>
      </c>
      <c r="R252" t="s">
        <v>1204</v>
      </c>
      <c r="S252" t="s">
        <v>1205</v>
      </c>
      <c r="T252" t="s">
        <v>1206</v>
      </c>
      <c r="U252" t="s">
        <v>110</v>
      </c>
      <c r="V252" t="str">
        <f>"113684154"</f>
        <v>113684154</v>
      </c>
      <c r="AC252" t="s">
        <v>112</v>
      </c>
      <c r="AD252" t="s">
        <v>107</v>
      </c>
      <c r="AE252" t="s">
        <v>278</v>
      </c>
      <c r="AG252" t="s">
        <v>114</v>
      </c>
    </row>
    <row r="253" spans="1:33" x14ac:dyDescent="0.25">
      <c r="A253" t="str">
        <f>"1841340700"</f>
        <v>1841340700</v>
      </c>
      <c r="C253" t="s">
        <v>1207</v>
      </c>
      <c r="G253" t="s">
        <v>289</v>
      </c>
      <c r="H253" t="s">
        <v>290</v>
      </c>
      <c r="J253" t="s">
        <v>291</v>
      </c>
      <c r="K253" t="s">
        <v>749</v>
      </c>
      <c r="L253" t="s">
        <v>373</v>
      </c>
      <c r="M253" t="s">
        <v>107</v>
      </c>
      <c r="R253" t="s">
        <v>1207</v>
      </c>
      <c r="S253" t="s">
        <v>1195</v>
      </c>
      <c r="T253" t="s">
        <v>481</v>
      </c>
      <c r="U253" t="s">
        <v>110</v>
      </c>
      <c r="V253" t="str">
        <f>"114272193"</f>
        <v>114272193</v>
      </c>
      <c r="AC253" t="s">
        <v>112</v>
      </c>
      <c r="AD253" t="s">
        <v>107</v>
      </c>
      <c r="AE253" t="s">
        <v>278</v>
      </c>
      <c r="AG253" t="s">
        <v>114</v>
      </c>
    </row>
    <row r="254" spans="1:33" x14ac:dyDescent="0.25">
      <c r="A254" t="str">
        <f>"1487970968"</f>
        <v>1487970968</v>
      </c>
      <c r="C254" t="s">
        <v>1208</v>
      </c>
      <c r="G254" t="s">
        <v>289</v>
      </c>
      <c r="H254" t="s">
        <v>290</v>
      </c>
      <c r="J254" t="s">
        <v>291</v>
      </c>
      <c r="K254" t="s">
        <v>749</v>
      </c>
      <c r="L254" t="s">
        <v>373</v>
      </c>
      <c r="M254" t="s">
        <v>107</v>
      </c>
      <c r="R254" t="s">
        <v>1208</v>
      </c>
      <c r="S254" t="s">
        <v>1209</v>
      </c>
      <c r="T254" t="s">
        <v>1210</v>
      </c>
      <c r="U254" t="s">
        <v>110</v>
      </c>
      <c r="V254" t="str">
        <f>"110212423"</f>
        <v>110212423</v>
      </c>
      <c r="AC254" t="s">
        <v>112</v>
      </c>
      <c r="AD254" t="s">
        <v>107</v>
      </c>
      <c r="AE254" t="s">
        <v>278</v>
      </c>
      <c r="AG254" t="s">
        <v>114</v>
      </c>
    </row>
    <row r="255" spans="1:33" x14ac:dyDescent="0.25">
      <c r="A255" t="str">
        <f>"1407006349"</f>
        <v>1407006349</v>
      </c>
      <c r="C255" t="s">
        <v>1211</v>
      </c>
      <c r="G255" t="s">
        <v>289</v>
      </c>
      <c r="H255" t="s">
        <v>290</v>
      </c>
      <c r="J255" t="s">
        <v>291</v>
      </c>
      <c r="K255" t="s">
        <v>749</v>
      </c>
      <c r="L255" t="s">
        <v>373</v>
      </c>
      <c r="M255" t="s">
        <v>107</v>
      </c>
      <c r="R255" t="s">
        <v>1211</v>
      </c>
      <c r="S255" t="s">
        <v>1212</v>
      </c>
      <c r="T255" t="s">
        <v>325</v>
      </c>
      <c r="U255" t="s">
        <v>110</v>
      </c>
      <c r="V255" t="str">
        <f>"10016"</f>
        <v>10016</v>
      </c>
      <c r="AC255" t="s">
        <v>112</v>
      </c>
      <c r="AD255" t="s">
        <v>107</v>
      </c>
      <c r="AE255" t="s">
        <v>278</v>
      </c>
      <c r="AG255" t="s">
        <v>114</v>
      </c>
    </row>
    <row r="256" spans="1:33" x14ac:dyDescent="0.25">
      <c r="A256" t="str">
        <f>"1437380045"</f>
        <v>1437380045</v>
      </c>
      <c r="C256" t="s">
        <v>1213</v>
      </c>
      <c r="G256" t="s">
        <v>289</v>
      </c>
      <c r="H256" t="s">
        <v>290</v>
      </c>
      <c r="J256" t="s">
        <v>291</v>
      </c>
      <c r="K256" t="s">
        <v>749</v>
      </c>
      <c r="L256" t="s">
        <v>373</v>
      </c>
      <c r="M256" t="s">
        <v>107</v>
      </c>
      <c r="R256" t="s">
        <v>1213</v>
      </c>
      <c r="S256" t="s">
        <v>1214</v>
      </c>
      <c r="T256" t="s">
        <v>325</v>
      </c>
      <c r="U256" t="s">
        <v>110</v>
      </c>
      <c r="V256" t="str">
        <f>"10018"</f>
        <v>10018</v>
      </c>
      <c r="AC256" t="s">
        <v>112</v>
      </c>
      <c r="AD256" t="s">
        <v>107</v>
      </c>
      <c r="AE256" t="s">
        <v>278</v>
      </c>
      <c r="AG256" t="s">
        <v>114</v>
      </c>
    </row>
    <row r="257" spans="1:33" x14ac:dyDescent="0.25">
      <c r="A257" t="str">
        <f>"1750389417"</f>
        <v>1750389417</v>
      </c>
      <c r="C257" t="s">
        <v>1215</v>
      </c>
      <c r="G257" t="s">
        <v>289</v>
      </c>
      <c r="H257" t="s">
        <v>290</v>
      </c>
      <c r="J257" t="s">
        <v>291</v>
      </c>
      <c r="K257" t="s">
        <v>749</v>
      </c>
      <c r="L257" t="s">
        <v>373</v>
      </c>
      <c r="M257" t="s">
        <v>107</v>
      </c>
      <c r="R257" t="s">
        <v>1215</v>
      </c>
      <c r="S257" t="s">
        <v>1216</v>
      </c>
      <c r="T257" t="s">
        <v>1217</v>
      </c>
      <c r="U257" t="s">
        <v>110</v>
      </c>
      <c r="V257" t="str">
        <f>"127011154"</f>
        <v>127011154</v>
      </c>
      <c r="AC257" t="s">
        <v>112</v>
      </c>
      <c r="AD257" t="s">
        <v>107</v>
      </c>
      <c r="AE257" t="s">
        <v>278</v>
      </c>
      <c r="AG257" t="s">
        <v>114</v>
      </c>
    </row>
    <row r="258" spans="1:33" x14ac:dyDescent="0.25">
      <c r="A258" t="str">
        <f>"1639177272"</f>
        <v>1639177272</v>
      </c>
      <c r="B258" t="str">
        <f>"00308549"</f>
        <v>00308549</v>
      </c>
      <c r="C258" t="s">
        <v>1218</v>
      </c>
      <c r="D258" t="s">
        <v>1219</v>
      </c>
      <c r="E258" t="s">
        <v>1220</v>
      </c>
      <c r="G258" t="s">
        <v>1221</v>
      </c>
      <c r="H258" t="s">
        <v>1222</v>
      </c>
      <c r="I258">
        <v>111</v>
      </c>
      <c r="J258" t="s">
        <v>1223</v>
      </c>
      <c r="L258" t="s">
        <v>405</v>
      </c>
      <c r="M258" t="s">
        <v>167</v>
      </c>
      <c r="R258" t="s">
        <v>1218</v>
      </c>
      <c r="W258" t="s">
        <v>1218</v>
      </c>
      <c r="X258" t="s">
        <v>1224</v>
      </c>
      <c r="Y258" t="s">
        <v>207</v>
      </c>
      <c r="Z258" t="s">
        <v>110</v>
      </c>
      <c r="AA258" t="str">
        <f>"11375-4114"</f>
        <v>11375-4114</v>
      </c>
      <c r="AB258" t="s">
        <v>408</v>
      </c>
      <c r="AC258" t="s">
        <v>112</v>
      </c>
      <c r="AD258" t="s">
        <v>107</v>
      </c>
      <c r="AE258" t="s">
        <v>113</v>
      </c>
      <c r="AG258" t="s">
        <v>114</v>
      </c>
    </row>
    <row r="259" spans="1:33" x14ac:dyDescent="0.25">
      <c r="A259" t="str">
        <f>"1851541015"</f>
        <v>1851541015</v>
      </c>
      <c r="B259" t="str">
        <f>"03114789"</f>
        <v>03114789</v>
      </c>
      <c r="C259" t="s">
        <v>1225</v>
      </c>
      <c r="D259" t="s">
        <v>1226</v>
      </c>
      <c r="E259" t="s">
        <v>1227</v>
      </c>
      <c r="G259" t="s">
        <v>1228</v>
      </c>
      <c r="H259" t="s">
        <v>1229</v>
      </c>
      <c r="I259">
        <v>302</v>
      </c>
      <c r="J259" t="s">
        <v>1230</v>
      </c>
      <c r="L259" t="s">
        <v>14</v>
      </c>
      <c r="M259" t="s">
        <v>107</v>
      </c>
      <c r="R259" t="s">
        <v>1225</v>
      </c>
      <c r="W259" t="s">
        <v>1227</v>
      </c>
      <c r="X259" t="s">
        <v>1231</v>
      </c>
      <c r="Y259" t="s">
        <v>626</v>
      </c>
      <c r="Z259" t="s">
        <v>110</v>
      </c>
      <c r="AA259" t="str">
        <f>"11102-4028"</f>
        <v>11102-4028</v>
      </c>
      <c r="AB259" t="s">
        <v>191</v>
      </c>
      <c r="AC259" t="s">
        <v>112</v>
      </c>
      <c r="AD259" t="s">
        <v>107</v>
      </c>
      <c r="AE259" t="s">
        <v>113</v>
      </c>
      <c r="AG259" t="s">
        <v>114</v>
      </c>
    </row>
    <row r="260" spans="1:33" x14ac:dyDescent="0.25">
      <c r="A260" t="str">
        <f>"1891084794"</f>
        <v>1891084794</v>
      </c>
      <c r="B260" t="str">
        <f>"03058019"</f>
        <v>03058019</v>
      </c>
      <c r="C260" t="s">
        <v>1232</v>
      </c>
      <c r="D260" t="s">
        <v>1233</v>
      </c>
      <c r="E260" t="s">
        <v>1234</v>
      </c>
      <c r="G260" t="s">
        <v>1235</v>
      </c>
      <c r="H260" t="s">
        <v>1236</v>
      </c>
      <c r="J260" t="s">
        <v>1237</v>
      </c>
      <c r="L260" t="s">
        <v>801</v>
      </c>
      <c r="M260" t="s">
        <v>167</v>
      </c>
      <c r="R260" t="s">
        <v>1232</v>
      </c>
      <c r="W260" t="s">
        <v>1234</v>
      </c>
      <c r="X260" t="s">
        <v>1238</v>
      </c>
      <c r="Y260" t="s">
        <v>200</v>
      </c>
      <c r="Z260" t="s">
        <v>110</v>
      </c>
      <c r="AA260" t="str">
        <f>"11372-6338"</f>
        <v>11372-6338</v>
      </c>
      <c r="AB260" t="s">
        <v>191</v>
      </c>
      <c r="AC260" t="s">
        <v>112</v>
      </c>
      <c r="AD260" t="s">
        <v>107</v>
      </c>
      <c r="AE260" t="s">
        <v>113</v>
      </c>
      <c r="AG260" t="s">
        <v>114</v>
      </c>
    </row>
    <row r="261" spans="1:33" x14ac:dyDescent="0.25">
      <c r="A261" t="str">
        <f>"1396802815"</f>
        <v>1396802815</v>
      </c>
      <c r="C261" t="s">
        <v>1239</v>
      </c>
      <c r="G261" t="s">
        <v>1240</v>
      </c>
      <c r="H261" t="s">
        <v>1241</v>
      </c>
      <c r="J261" t="s">
        <v>1242</v>
      </c>
      <c r="K261" t="s">
        <v>595</v>
      </c>
      <c r="L261" t="s">
        <v>106</v>
      </c>
      <c r="M261" t="s">
        <v>107</v>
      </c>
      <c r="S261" t="s">
        <v>1243</v>
      </c>
      <c r="T261" t="s">
        <v>831</v>
      </c>
      <c r="U261" t="s">
        <v>110</v>
      </c>
      <c r="V261" t="str">
        <f>"11420"</f>
        <v>11420</v>
      </c>
      <c r="AC261" t="s">
        <v>112</v>
      </c>
      <c r="AD261" t="s">
        <v>107</v>
      </c>
      <c r="AE261" t="s">
        <v>278</v>
      </c>
      <c r="AG261" t="s">
        <v>114</v>
      </c>
    </row>
    <row r="262" spans="1:33" x14ac:dyDescent="0.25">
      <c r="A262" t="str">
        <f>"1619034113"</f>
        <v>1619034113</v>
      </c>
      <c r="C262" t="s">
        <v>1244</v>
      </c>
      <c r="G262" t="s">
        <v>1240</v>
      </c>
      <c r="H262" t="s">
        <v>1241</v>
      </c>
      <c r="J262" t="s">
        <v>1242</v>
      </c>
      <c r="K262" t="s">
        <v>595</v>
      </c>
      <c r="L262" t="s">
        <v>106</v>
      </c>
      <c r="M262" t="s">
        <v>107</v>
      </c>
      <c r="R262" t="s">
        <v>1244</v>
      </c>
      <c r="S262" t="s">
        <v>1243</v>
      </c>
      <c r="T262" t="s">
        <v>831</v>
      </c>
      <c r="U262" t="s">
        <v>110</v>
      </c>
      <c r="V262" t="str">
        <f>"11420"</f>
        <v>11420</v>
      </c>
      <c r="AC262" t="s">
        <v>112</v>
      </c>
      <c r="AD262" t="s">
        <v>107</v>
      </c>
      <c r="AE262" t="s">
        <v>278</v>
      </c>
      <c r="AG262" t="s">
        <v>114</v>
      </c>
    </row>
    <row r="263" spans="1:33" x14ac:dyDescent="0.25">
      <c r="A263" t="str">
        <f>"1023103363"</f>
        <v>1023103363</v>
      </c>
      <c r="B263" t="str">
        <f>"00227394"</f>
        <v>00227394</v>
      </c>
      <c r="C263" t="s">
        <v>1245</v>
      </c>
      <c r="D263" t="s">
        <v>1246</v>
      </c>
      <c r="E263" t="s">
        <v>1247</v>
      </c>
      <c r="G263" t="s">
        <v>1248</v>
      </c>
      <c r="H263" t="s">
        <v>1249</v>
      </c>
      <c r="I263">
        <v>216</v>
      </c>
      <c r="J263" t="s">
        <v>1250</v>
      </c>
      <c r="L263" t="s">
        <v>166</v>
      </c>
      <c r="M263" t="s">
        <v>107</v>
      </c>
      <c r="R263" t="s">
        <v>1245</v>
      </c>
      <c r="W263" t="s">
        <v>1251</v>
      </c>
      <c r="X263" t="s">
        <v>1252</v>
      </c>
      <c r="Y263" t="s">
        <v>1253</v>
      </c>
      <c r="Z263" t="s">
        <v>110</v>
      </c>
      <c r="AA263" t="str">
        <f>"11106-2404"</f>
        <v>11106-2404</v>
      </c>
      <c r="AB263" t="s">
        <v>172</v>
      </c>
      <c r="AC263" t="s">
        <v>112</v>
      </c>
      <c r="AD263" t="s">
        <v>107</v>
      </c>
      <c r="AE263" t="s">
        <v>113</v>
      </c>
      <c r="AG263" t="s">
        <v>114</v>
      </c>
    </row>
    <row r="264" spans="1:33" x14ac:dyDescent="0.25">
      <c r="A264" t="str">
        <f>"1740222355"</f>
        <v>1740222355</v>
      </c>
      <c r="B264" t="str">
        <f>"01591780"</f>
        <v>01591780</v>
      </c>
      <c r="C264" t="s">
        <v>1254</v>
      </c>
      <c r="D264" t="s">
        <v>1255</v>
      </c>
      <c r="E264" t="s">
        <v>1256</v>
      </c>
      <c r="G264" t="s">
        <v>1248</v>
      </c>
      <c r="H264" t="s">
        <v>1249</v>
      </c>
      <c r="I264">
        <v>216</v>
      </c>
      <c r="J264" t="s">
        <v>1250</v>
      </c>
      <c r="L264" t="s">
        <v>166</v>
      </c>
      <c r="M264" t="s">
        <v>167</v>
      </c>
      <c r="R264" t="s">
        <v>1254</v>
      </c>
      <c r="W264" t="s">
        <v>1256</v>
      </c>
      <c r="X264" t="s">
        <v>1257</v>
      </c>
      <c r="Y264" t="s">
        <v>325</v>
      </c>
      <c r="Z264" t="s">
        <v>110</v>
      </c>
      <c r="AA264" t="str">
        <f>"10011-8305"</f>
        <v>10011-8305</v>
      </c>
      <c r="AB264" t="s">
        <v>172</v>
      </c>
      <c r="AC264" t="s">
        <v>112</v>
      </c>
      <c r="AD264" t="s">
        <v>107</v>
      </c>
      <c r="AE264" t="s">
        <v>113</v>
      </c>
      <c r="AG264" t="s">
        <v>114</v>
      </c>
    </row>
    <row r="265" spans="1:33" x14ac:dyDescent="0.25">
      <c r="A265" t="str">
        <f>"1316022510"</f>
        <v>1316022510</v>
      </c>
      <c r="B265" t="str">
        <f>"02194690"</f>
        <v>02194690</v>
      </c>
      <c r="C265" t="s">
        <v>1258</v>
      </c>
      <c r="D265" t="s">
        <v>1259</v>
      </c>
      <c r="E265" t="s">
        <v>1260</v>
      </c>
      <c r="G265" t="s">
        <v>1248</v>
      </c>
      <c r="H265" t="s">
        <v>1249</v>
      </c>
      <c r="I265">
        <v>216</v>
      </c>
      <c r="J265" t="s">
        <v>1250</v>
      </c>
      <c r="L265" t="s">
        <v>166</v>
      </c>
      <c r="M265" t="s">
        <v>167</v>
      </c>
      <c r="R265" t="s">
        <v>1258</v>
      </c>
      <c r="W265" t="s">
        <v>1260</v>
      </c>
      <c r="X265" t="s">
        <v>1261</v>
      </c>
      <c r="Y265" t="s">
        <v>200</v>
      </c>
      <c r="Z265" t="s">
        <v>110</v>
      </c>
      <c r="AA265" t="str">
        <f>"11372-3054"</f>
        <v>11372-3054</v>
      </c>
      <c r="AB265" t="s">
        <v>172</v>
      </c>
      <c r="AC265" t="s">
        <v>112</v>
      </c>
      <c r="AD265" t="s">
        <v>107</v>
      </c>
      <c r="AE265" t="s">
        <v>113</v>
      </c>
      <c r="AG265" t="s">
        <v>114</v>
      </c>
    </row>
    <row r="266" spans="1:33" x14ac:dyDescent="0.25">
      <c r="A266" t="str">
        <f>"1053360008"</f>
        <v>1053360008</v>
      </c>
      <c r="B266" t="str">
        <f>"02110007"</f>
        <v>02110007</v>
      </c>
      <c r="C266" t="s">
        <v>1262</v>
      </c>
      <c r="D266" t="s">
        <v>1263</v>
      </c>
      <c r="E266" t="s">
        <v>1264</v>
      </c>
      <c r="G266" t="s">
        <v>1248</v>
      </c>
      <c r="H266" t="s">
        <v>1249</v>
      </c>
      <c r="I266">
        <v>216</v>
      </c>
      <c r="J266" t="s">
        <v>1250</v>
      </c>
      <c r="L266" t="s">
        <v>215</v>
      </c>
      <c r="M266" t="s">
        <v>107</v>
      </c>
      <c r="R266" t="s">
        <v>1262</v>
      </c>
      <c r="W266" t="s">
        <v>1264</v>
      </c>
      <c r="X266" t="s">
        <v>1265</v>
      </c>
      <c r="Y266" t="s">
        <v>207</v>
      </c>
      <c r="Z266" t="s">
        <v>110</v>
      </c>
      <c r="AA266" t="str">
        <f>"11375-4934"</f>
        <v>11375-4934</v>
      </c>
      <c r="AB266" t="s">
        <v>172</v>
      </c>
      <c r="AC266" t="s">
        <v>112</v>
      </c>
      <c r="AD266" t="s">
        <v>107</v>
      </c>
      <c r="AE266" t="s">
        <v>113</v>
      </c>
      <c r="AG266" t="s">
        <v>114</v>
      </c>
    </row>
    <row r="267" spans="1:33" x14ac:dyDescent="0.25">
      <c r="A267" t="str">
        <f>"1881724557"</f>
        <v>1881724557</v>
      </c>
      <c r="B267" t="str">
        <f>"00319360"</f>
        <v>00319360</v>
      </c>
      <c r="C267" t="s">
        <v>1266</v>
      </c>
      <c r="D267" t="s">
        <v>1267</v>
      </c>
      <c r="E267" t="s">
        <v>1268</v>
      </c>
      <c r="G267" t="s">
        <v>1248</v>
      </c>
      <c r="H267" t="s">
        <v>1249</v>
      </c>
      <c r="I267">
        <v>216</v>
      </c>
      <c r="J267" t="s">
        <v>1250</v>
      </c>
      <c r="L267" t="s">
        <v>106</v>
      </c>
      <c r="M267" t="s">
        <v>107</v>
      </c>
      <c r="R267" t="s">
        <v>1266</v>
      </c>
      <c r="W267" t="s">
        <v>1266</v>
      </c>
      <c r="X267" t="s">
        <v>1269</v>
      </c>
      <c r="Y267" t="s">
        <v>225</v>
      </c>
      <c r="Z267" t="s">
        <v>110</v>
      </c>
      <c r="AA267" t="str">
        <f>"11367-3120"</f>
        <v>11367-3120</v>
      </c>
      <c r="AB267" t="s">
        <v>326</v>
      </c>
      <c r="AC267" t="s">
        <v>112</v>
      </c>
      <c r="AD267" t="s">
        <v>107</v>
      </c>
      <c r="AE267" t="s">
        <v>113</v>
      </c>
      <c r="AG267" t="s">
        <v>114</v>
      </c>
    </row>
    <row r="268" spans="1:33" x14ac:dyDescent="0.25">
      <c r="A268" t="str">
        <f>"1477887792"</f>
        <v>1477887792</v>
      </c>
      <c r="C268" t="s">
        <v>1270</v>
      </c>
      <c r="G268" t="s">
        <v>273</v>
      </c>
      <c r="H268" t="s">
        <v>274</v>
      </c>
      <c r="J268" t="s">
        <v>275</v>
      </c>
      <c r="K268" t="s">
        <v>276</v>
      </c>
      <c r="L268" t="s">
        <v>106</v>
      </c>
      <c r="M268" t="s">
        <v>107</v>
      </c>
      <c r="R268" t="s">
        <v>1270</v>
      </c>
      <c r="S268" t="s">
        <v>1271</v>
      </c>
      <c r="T268" t="s">
        <v>200</v>
      </c>
      <c r="U268" t="s">
        <v>110</v>
      </c>
      <c r="V268" t="str">
        <f>"113726300"</f>
        <v>113726300</v>
      </c>
      <c r="AC268" t="s">
        <v>112</v>
      </c>
      <c r="AD268" t="s">
        <v>107</v>
      </c>
      <c r="AE268" t="s">
        <v>278</v>
      </c>
      <c r="AG268" t="s">
        <v>114</v>
      </c>
    </row>
    <row r="269" spans="1:33" x14ac:dyDescent="0.25">
      <c r="A269" t="str">
        <f>"1639197551"</f>
        <v>1639197551</v>
      </c>
      <c r="B269" t="str">
        <f>"00273056"</f>
        <v>00273056</v>
      </c>
      <c r="C269" t="s">
        <v>1272</v>
      </c>
      <c r="D269" t="s">
        <v>1273</v>
      </c>
      <c r="E269" t="s">
        <v>1274</v>
      </c>
      <c r="G269" t="s">
        <v>1275</v>
      </c>
      <c r="H269" t="s">
        <v>1276</v>
      </c>
      <c r="I269">
        <v>3086</v>
      </c>
      <c r="J269" t="s">
        <v>1277</v>
      </c>
      <c r="L269" t="s">
        <v>801</v>
      </c>
      <c r="M269" t="s">
        <v>167</v>
      </c>
      <c r="R269" t="s">
        <v>1278</v>
      </c>
      <c r="W269" t="s">
        <v>1274</v>
      </c>
      <c r="X269" t="s">
        <v>1279</v>
      </c>
      <c r="Y269" t="s">
        <v>647</v>
      </c>
      <c r="Z269" t="s">
        <v>110</v>
      </c>
      <c r="AA269" t="str">
        <f>"11366-1950"</f>
        <v>11366-1950</v>
      </c>
      <c r="AB269" t="s">
        <v>688</v>
      </c>
      <c r="AC269" t="s">
        <v>112</v>
      </c>
      <c r="AD269" t="s">
        <v>107</v>
      </c>
      <c r="AE269" t="s">
        <v>113</v>
      </c>
      <c r="AG269" t="s">
        <v>114</v>
      </c>
    </row>
    <row r="270" spans="1:33" x14ac:dyDescent="0.25">
      <c r="A270" t="str">
        <f>"1275686479"</f>
        <v>1275686479</v>
      </c>
      <c r="B270" t="str">
        <f>"01981171"</f>
        <v>01981171</v>
      </c>
      <c r="C270" t="s">
        <v>1280</v>
      </c>
      <c r="D270" t="s">
        <v>1281</v>
      </c>
      <c r="E270" t="s">
        <v>1282</v>
      </c>
      <c r="G270" t="s">
        <v>273</v>
      </c>
      <c r="H270" t="s">
        <v>274</v>
      </c>
      <c r="J270" t="s">
        <v>275</v>
      </c>
      <c r="L270" t="s">
        <v>117</v>
      </c>
      <c r="M270" t="s">
        <v>107</v>
      </c>
      <c r="R270" t="s">
        <v>1280</v>
      </c>
      <c r="W270" t="s">
        <v>1282</v>
      </c>
      <c r="Y270" t="s">
        <v>325</v>
      </c>
      <c r="Z270" t="s">
        <v>110</v>
      </c>
      <c r="AA270" t="str">
        <f>"10029-6500"</f>
        <v>10029-6500</v>
      </c>
      <c r="AB270" t="s">
        <v>172</v>
      </c>
      <c r="AC270" t="s">
        <v>112</v>
      </c>
      <c r="AD270" t="s">
        <v>107</v>
      </c>
      <c r="AE270" t="s">
        <v>113</v>
      </c>
      <c r="AG270" t="s">
        <v>114</v>
      </c>
    </row>
    <row r="271" spans="1:33" x14ac:dyDescent="0.25">
      <c r="A271" t="str">
        <f>"1821376328"</f>
        <v>1821376328</v>
      </c>
      <c r="C271" t="s">
        <v>1283</v>
      </c>
      <c r="G271" t="s">
        <v>273</v>
      </c>
      <c r="H271" t="s">
        <v>274</v>
      </c>
      <c r="J271" t="s">
        <v>275</v>
      </c>
      <c r="K271" t="s">
        <v>276</v>
      </c>
      <c r="L271" t="s">
        <v>106</v>
      </c>
      <c r="M271" t="s">
        <v>107</v>
      </c>
      <c r="R271" t="s">
        <v>1283</v>
      </c>
      <c r="S271" t="s">
        <v>1284</v>
      </c>
      <c r="T271" t="s">
        <v>1285</v>
      </c>
      <c r="U271" t="s">
        <v>110</v>
      </c>
      <c r="V271" t="str">
        <f>"111042406"</f>
        <v>111042406</v>
      </c>
      <c r="AC271" t="s">
        <v>112</v>
      </c>
      <c r="AD271" t="s">
        <v>107</v>
      </c>
      <c r="AE271" t="s">
        <v>278</v>
      </c>
      <c r="AG271" t="s">
        <v>114</v>
      </c>
    </row>
    <row r="272" spans="1:33" x14ac:dyDescent="0.25">
      <c r="A272" t="str">
        <f>"1861824773"</f>
        <v>1861824773</v>
      </c>
      <c r="B272" t="str">
        <f>"03818926"</f>
        <v>03818926</v>
      </c>
      <c r="C272" t="s">
        <v>1286</v>
      </c>
      <c r="D272" t="s">
        <v>1287</v>
      </c>
      <c r="E272" t="s">
        <v>1288</v>
      </c>
      <c r="G272" t="s">
        <v>212</v>
      </c>
      <c r="H272" t="s">
        <v>213</v>
      </c>
      <c r="J272" t="s">
        <v>214</v>
      </c>
      <c r="L272" t="s">
        <v>166</v>
      </c>
      <c r="M272" t="s">
        <v>107</v>
      </c>
      <c r="R272" t="s">
        <v>1286</v>
      </c>
      <c r="W272" t="s">
        <v>1288</v>
      </c>
      <c r="X272" t="s">
        <v>1289</v>
      </c>
      <c r="Y272" t="s">
        <v>240</v>
      </c>
      <c r="Z272" t="s">
        <v>110</v>
      </c>
      <c r="AA272" t="str">
        <f>"11225-5417"</f>
        <v>11225-5417</v>
      </c>
      <c r="AB272" t="s">
        <v>172</v>
      </c>
      <c r="AC272" t="s">
        <v>112</v>
      </c>
      <c r="AD272" t="s">
        <v>107</v>
      </c>
      <c r="AE272" t="s">
        <v>113</v>
      </c>
      <c r="AG272" t="s">
        <v>114</v>
      </c>
    </row>
    <row r="273" spans="1:33" x14ac:dyDescent="0.25">
      <c r="A273" t="str">
        <f>"1770669038"</f>
        <v>1770669038</v>
      </c>
      <c r="B273" t="str">
        <f>"01084573"</f>
        <v>01084573</v>
      </c>
      <c r="C273" t="s">
        <v>1290</v>
      </c>
      <c r="D273" t="s">
        <v>1291</v>
      </c>
      <c r="E273" t="s">
        <v>1292</v>
      </c>
      <c r="G273" t="s">
        <v>766</v>
      </c>
      <c r="H273" t="s">
        <v>767</v>
      </c>
      <c r="J273" t="s">
        <v>768</v>
      </c>
      <c r="L273" t="s">
        <v>1293</v>
      </c>
      <c r="M273" t="s">
        <v>167</v>
      </c>
      <c r="R273" t="s">
        <v>1294</v>
      </c>
      <c r="W273" t="s">
        <v>1295</v>
      </c>
      <c r="X273" t="s">
        <v>1296</v>
      </c>
      <c r="Y273" t="s">
        <v>325</v>
      </c>
      <c r="Z273" t="s">
        <v>110</v>
      </c>
      <c r="AA273" t="str">
        <f>"10006-3039"</f>
        <v>10006-3039</v>
      </c>
      <c r="AB273" t="s">
        <v>191</v>
      </c>
      <c r="AC273" t="s">
        <v>112</v>
      </c>
      <c r="AD273" t="s">
        <v>107</v>
      </c>
      <c r="AE273" t="s">
        <v>113</v>
      </c>
      <c r="AG273" t="s">
        <v>114</v>
      </c>
    </row>
    <row r="274" spans="1:33" x14ac:dyDescent="0.25">
      <c r="A274" t="str">
        <f>"1033290242"</f>
        <v>1033290242</v>
      </c>
      <c r="B274" t="str">
        <f>"02080844"</f>
        <v>02080844</v>
      </c>
      <c r="C274" t="s">
        <v>1297</v>
      </c>
      <c r="D274" t="s">
        <v>1298</v>
      </c>
      <c r="E274" t="s">
        <v>1299</v>
      </c>
      <c r="G274" t="s">
        <v>212</v>
      </c>
      <c r="H274" t="s">
        <v>213</v>
      </c>
      <c r="J274" t="s">
        <v>214</v>
      </c>
      <c r="L274" t="s">
        <v>166</v>
      </c>
      <c r="M274" t="s">
        <v>167</v>
      </c>
      <c r="R274" t="s">
        <v>1297</v>
      </c>
      <c r="W274" t="s">
        <v>1299</v>
      </c>
      <c r="X274" t="s">
        <v>1300</v>
      </c>
      <c r="Y274" t="s">
        <v>183</v>
      </c>
      <c r="Z274" t="s">
        <v>110</v>
      </c>
      <c r="AA274" t="str">
        <f>"10461-2700"</f>
        <v>10461-2700</v>
      </c>
      <c r="AB274" t="s">
        <v>172</v>
      </c>
      <c r="AC274" t="s">
        <v>112</v>
      </c>
      <c r="AD274" t="s">
        <v>107</v>
      </c>
      <c r="AE274" t="s">
        <v>113</v>
      </c>
      <c r="AG274" t="s">
        <v>114</v>
      </c>
    </row>
    <row r="275" spans="1:33" x14ac:dyDescent="0.25">
      <c r="A275" t="str">
        <f>"1366461923"</f>
        <v>1366461923</v>
      </c>
      <c r="B275" t="str">
        <f>"01369135"</f>
        <v>01369135</v>
      </c>
      <c r="C275" t="s">
        <v>1301</v>
      </c>
      <c r="D275" t="s">
        <v>1302</v>
      </c>
      <c r="E275" t="s">
        <v>1303</v>
      </c>
      <c r="G275" t="s">
        <v>195</v>
      </c>
      <c r="H275" t="s">
        <v>196</v>
      </c>
      <c r="J275" t="s">
        <v>197</v>
      </c>
      <c r="L275" t="s">
        <v>166</v>
      </c>
      <c r="M275" t="s">
        <v>167</v>
      </c>
      <c r="R275" t="s">
        <v>1301</v>
      </c>
      <c r="W275" t="s">
        <v>1304</v>
      </c>
      <c r="X275" t="s">
        <v>1305</v>
      </c>
      <c r="Y275" t="s">
        <v>422</v>
      </c>
      <c r="Z275" t="s">
        <v>110</v>
      </c>
      <c r="AA275" t="str">
        <f>"11418"</f>
        <v>11418</v>
      </c>
      <c r="AB275" t="s">
        <v>172</v>
      </c>
      <c r="AC275" t="s">
        <v>112</v>
      </c>
      <c r="AD275" t="s">
        <v>107</v>
      </c>
      <c r="AE275" t="s">
        <v>113</v>
      </c>
      <c r="AG275" t="s">
        <v>114</v>
      </c>
    </row>
    <row r="276" spans="1:33" x14ac:dyDescent="0.25">
      <c r="A276" t="str">
        <f>"1790751402"</f>
        <v>1790751402</v>
      </c>
      <c r="B276" t="str">
        <f>"00241901"</f>
        <v>00241901</v>
      </c>
      <c r="C276" t="s">
        <v>1306</v>
      </c>
      <c r="D276" t="s">
        <v>1307</v>
      </c>
      <c r="E276" t="s">
        <v>1308</v>
      </c>
      <c r="G276" t="s">
        <v>195</v>
      </c>
      <c r="H276" t="s">
        <v>196</v>
      </c>
      <c r="J276" t="s">
        <v>197</v>
      </c>
      <c r="L276" t="s">
        <v>215</v>
      </c>
      <c r="M276" t="s">
        <v>167</v>
      </c>
      <c r="R276" t="s">
        <v>1306</v>
      </c>
      <c r="W276" t="s">
        <v>1308</v>
      </c>
      <c r="X276" t="s">
        <v>1309</v>
      </c>
      <c r="Y276" t="s">
        <v>1310</v>
      </c>
      <c r="Z276" t="s">
        <v>110</v>
      </c>
      <c r="AA276" t="str">
        <f>"11572-1548"</f>
        <v>11572-1548</v>
      </c>
      <c r="AB276" t="s">
        <v>172</v>
      </c>
      <c r="AC276" t="s">
        <v>112</v>
      </c>
      <c r="AD276" t="s">
        <v>107</v>
      </c>
      <c r="AE276" t="s">
        <v>113</v>
      </c>
      <c r="AG276" t="s">
        <v>114</v>
      </c>
    </row>
    <row r="277" spans="1:33" x14ac:dyDescent="0.25">
      <c r="A277" t="str">
        <f>"1649235516"</f>
        <v>1649235516</v>
      </c>
      <c r="B277" t="str">
        <f>"02733168"</f>
        <v>02733168</v>
      </c>
      <c r="C277" t="s">
        <v>1311</v>
      </c>
      <c r="D277" t="s">
        <v>1312</v>
      </c>
      <c r="E277" t="s">
        <v>1313</v>
      </c>
      <c r="G277" t="s">
        <v>212</v>
      </c>
      <c r="H277" t="s">
        <v>213</v>
      </c>
      <c r="J277" t="s">
        <v>214</v>
      </c>
      <c r="L277" t="s">
        <v>166</v>
      </c>
      <c r="M277" t="s">
        <v>167</v>
      </c>
      <c r="R277" t="s">
        <v>1311</v>
      </c>
      <c r="W277" t="s">
        <v>1313</v>
      </c>
      <c r="X277" t="s">
        <v>1314</v>
      </c>
      <c r="Y277" t="s">
        <v>1315</v>
      </c>
      <c r="Z277" t="s">
        <v>110</v>
      </c>
      <c r="AA277" t="str">
        <f>"11418-2618"</f>
        <v>11418-2618</v>
      </c>
      <c r="AB277" t="s">
        <v>172</v>
      </c>
      <c r="AC277" t="s">
        <v>112</v>
      </c>
      <c r="AD277" t="s">
        <v>107</v>
      </c>
      <c r="AE277" t="s">
        <v>113</v>
      </c>
      <c r="AG277" t="s">
        <v>114</v>
      </c>
    </row>
    <row r="278" spans="1:33" x14ac:dyDescent="0.25">
      <c r="A278" t="str">
        <f>"1659312361"</f>
        <v>1659312361</v>
      </c>
      <c r="B278" t="str">
        <f>"02751926"</f>
        <v>02751926</v>
      </c>
      <c r="C278" t="s">
        <v>1316</v>
      </c>
      <c r="D278" t="s">
        <v>1317</v>
      </c>
      <c r="E278" t="s">
        <v>1318</v>
      </c>
      <c r="G278" t="s">
        <v>682</v>
      </c>
      <c r="H278" t="s">
        <v>683</v>
      </c>
      <c r="J278" t="s">
        <v>684</v>
      </c>
      <c r="L278" t="s">
        <v>373</v>
      </c>
      <c r="M278" t="s">
        <v>107</v>
      </c>
      <c r="R278" t="s">
        <v>1316</v>
      </c>
      <c r="W278" t="s">
        <v>1318</v>
      </c>
      <c r="X278" t="s">
        <v>311</v>
      </c>
      <c r="Y278" t="s">
        <v>225</v>
      </c>
      <c r="Z278" t="s">
        <v>110</v>
      </c>
      <c r="AA278" t="str">
        <f>"11355-5045"</f>
        <v>11355-5045</v>
      </c>
      <c r="AB278" t="s">
        <v>208</v>
      </c>
      <c r="AC278" t="s">
        <v>112</v>
      </c>
      <c r="AD278" t="s">
        <v>107</v>
      </c>
      <c r="AE278" t="s">
        <v>113</v>
      </c>
      <c r="AG278" t="s">
        <v>114</v>
      </c>
    </row>
    <row r="279" spans="1:33" x14ac:dyDescent="0.25">
      <c r="A279" t="str">
        <f>"1245467844"</f>
        <v>1245467844</v>
      </c>
      <c r="C279" t="s">
        <v>1319</v>
      </c>
      <c r="G279" t="s">
        <v>273</v>
      </c>
      <c r="H279" t="s">
        <v>274</v>
      </c>
      <c r="J279" t="s">
        <v>275</v>
      </c>
      <c r="K279" t="s">
        <v>276</v>
      </c>
      <c r="L279" t="s">
        <v>106</v>
      </c>
      <c r="M279" t="s">
        <v>107</v>
      </c>
      <c r="R279" t="s">
        <v>1319</v>
      </c>
      <c r="S279" t="s">
        <v>277</v>
      </c>
      <c r="T279" t="s">
        <v>200</v>
      </c>
      <c r="U279" t="s">
        <v>110</v>
      </c>
      <c r="V279" t="str">
        <f>"113726300"</f>
        <v>113726300</v>
      </c>
      <c r="AC279" t="s">
        <v>112</v>
      </c>
      <c r="AD279" t="s">
        <v>107</v>
      </c>
      <c r="AE279" t="s">
        <v>278</v>
      </c>
      <c r="AG279" t="s">
        <v>114</v>
      </c>
    </row>
    <row r="280" spans="1:33" x14ac:dyDescent="0.25">
      <c r="A280" t="str">
        <f>"1316054539"</f>
        <v>1316054539</v>
      </c>
      <c r="B280" t="str">
        <f>"01413583"</f>
        <v>01413583</v>
      </c>
      <c r="C280" t="s">
        <v>1320</v>
      </c>
      <c r="D280" t="s">
        <v>1321</v>
      </c>
      <c r="E280" t="s">
        <v>1322</v>
      </c>
      <c r="G280" t="s">
        <v>267</v>
      </c>
      <c r="H280" t="s">
        <v>268</v>
      </c>
      <c r="I280">
        <v>4223</v>
      </c>
      <c r="J280" t="s">
        <v>269</v>
      </c>
      <c r="L280" t="s">
        <v>166</v>
      </c>
      <c r="M280" t="s">
        <v>107</v>
      </c>
      <c r="R280" t="s">
        <v>1320</v>
      </c>
      <c r="W280" t="s">
        <v>1323</v>
      </c>
      <c r="X280" t="s">
        <v>1324</v>
      </c>
      <c r="Y280" t="s">
        <v>1325</v>
      </c>
      <c r="Z280" t="s">
        <v>110</v>
      </c>
      <c r="AA280" t="str">
        <f>"11379-1207"</f>
        <v>11379-1207</v>
      </c>
      <c r="AB280" t="s">
        <v>172</v>
      </c>
      <c r="AC280" t="s">
        <v>112</v>
      </c>
      <c r="AD280" t="s">
        <v>107</v>
      </c>
      <c r="AE280" t="s">
        <v>113</v>
      </c>
      <c r="AG280" t="s">
        <v>114</v>
      </c>
    </row>
    <row r="281" spans="1:33" x14ac:dyDescent="0.25">
      <c r="A281" t="str">
        <f>"1639490618"</f>
        <v>1639490618</v>
      </c>
      <c r="B281" t="str">
        <f>"03916194"</f>
        <v>03916194</v>
      </c>
      <c r="C281" t="s">
        <v>1326</v>
      </c>
      <c r="D281" t="s">
        <v>1327</v>
      </c>
      <c r="E281" t="s">
        <v>1326</v>
      </c>
      <c r="G281" t="s">
        <v>176</v>
      </c>
      <c r="H281" t="s">
        <v>177</v>
      </c>
      <c r="I281">
        <v>3264</v>
      </c>
      <c r="J281" t="s">
        <v>178</v>
      </c>
      <c r="L281" t="s">
        <v>117</v>
      </c>
      <c r="M281" t="s">
        <v>107</v>
      </c>
      <c r="R281" t="s">
        <v>1326</v>
      </c>
      <c r="W281" t="s">
        <v>1326</v>
      </c>
      <c r="X281" t="s">
        <v>239</v>
      </c>
      <c r="Y281" t="s">
        <v>240</v>
      </c>
      <c r="Z281" t="s">
        <v>110</v>
      </c>
      <c r="AA281" t="str">
        <f>"11216-3903"</f>
        <v>11216-3903</v>
      </c>
      <c r="AB281" t="s">
        <v>172</v>
      </c>
      <c r="AC281" t="s">
        <v>112</v>
      </c>
      <c r="AD281" t="s">
        <v>107</v>
      </c>
      <c r="AE281" t="s">
        <v>113</v>
      </c>
      <c r="AG281" t="s">
        <v>114</v>
      </c>
    </row>
    <row r="282" spans="1:33" x14ac:dyDescent="0.25">
      <c r="A282" t="str">
        <f>"1184718405"</f>
        <v>1184718405</v>
      </c>
      <c r="B282" t="str">
        <f>"00172418"</f>
        <v>00172418</v>
      </c>
      <c r="C282" t="s">
        <v>1328</v>
      </c>
      <c r="D282" t="s">
        <v>1329</v>
      </c>
      <c r="E282" t="s">
        <v>1330</v>
      </c>
      <c r="G282" t="s">
        <v>997</v>
      </c>
      <c r="H282" t="s">
        <v>998</v>
      </c>
      <c r="I282">
        <v>5736</v>
      </c>
      <c r="J282" t="s">
        <v>999</v>
      </c>
      <c r="L282" t="s">
        <v>117</v>
      </c>
      <c r="M282" t="s">
        <v>107</v>
      </c>
      <c r="R282" t="s">
        <v>1328</v>
      </c>
      <c r="W282" t="s">
        <v>1330</v>
      </c>
      <c r="X282" t="s">
        <v>1331</v>
      </c>
      <c r="Y282" t="s">
        <v>325</v>
      </c>
      <c r="Z282" t="s">
        <v>110</v>
      </c>
      <c r="AA282" t="str">
        <f>"10075-0438"</f>
        <v>10075-0438</v>
      </c>
      <c r="AB282" t="s">
        <v>172</v>
      </c>
      <c r="AC282" t="s">
        <v>112</v>
      </c>
      <c r="AD282" t="s">
        <v>107</v>
      </c>
      <c r="AE282" t="s">
        <v>113</v>
      </c>
      <c r="AG282" t="s">
        <v>114</v>
      </c>
    </row>
    <row r="283" spans="1:33" x14ac:dyDescent="0.25">
      <c r="A283" t="str">
        <f>"1396046918"</f>
        <v>1396046918</v>
      </c>
      <c r="B283" t="str">
        <f>"03312883"</f>
        <v>03312883</v>
      </c>
      <c r="C283" t="s">
        <v>1332</v>
      </c>
      <c r="D283" t="s">
        <v>1333</v>
      </c>
      <c r="E283" t="s">
        <v>1334</v>
      </c>
      <c r="G283" t="s">
        <v>212</v>
      </c>
      <c r="H283" t="s">
        <v>213</v>
      </c>
      <c r="J283" t="s">
        <v>214</v>
      </c>
      <c r="L283" t="s">
        <v>215</v>
      </c>
      <c r="M283" t="s">
        <v>167</v>
      </c>
      <c r="R283" t="s">
        <v>1332</v>
      </c>
      <c r="W283" t="s">
        <v>1334</v>
      </c>
      <c r="X283" t="s">
        <v>1335</v>
      </c>
      <c r="Y283" t="s">
        <v>183</v>
      </c>
      <c r="Z283" t="s">
        <v>110</v>
      </c>
      <c r="AA283" t="str">
        <f>"10457-4501"</f>
        <v>10457-4501</v>
      </c>
      <c r="AB283" t="s">
        <v>172</v>
      </c>
      <c r="AC283" t="s">
        <v>112</v>
      </c>
      <c r="AD283" t="s">
        <v>107</v>
      </c>
      <c r="AE283" t="s">
        <v>113</v>
      </c>
      <c r="AG283" t="s">
        <v>114</v>
      </c>
    </row>
    <row r="284" spans="1:33" x14ac:dyDescent="0.25">
      <c r="A284" t="str">
        <f>"1073741872"</f>
        <v>1073741872</v>
      </c>
      <c r="B284" t="str">
        <f>"03180756"</f>
        <v>03180756</v>
      </c>
      <c r="C284" t="s">
        <v>1336</v>
      </c>
      <c r="D284" t="s">
        <v>1337</v>
      </c>
      <c r="E284" t="s">
        <v>1338</v>
      </c>
      <c r="G284" t="s">
        <v>251</v>
      </c>
      <c r="H284" t="s">
        <v>252</v>
      </c>
      <c r="I284">
        <v>215</v>
      </c>
      <c r="J284" t="s">
        <v>253</v>
      </c>
      <c r="L284" t="s">
        <v>106</v>
      </c>
      <c r="M284" t="s">
        <v>107</v>
      </c>
      <c r="R284" t="s">
        <v>1336</v>
      </c>
      <c r="W284" t="s">
        <v>1338</v>
      </c>
      <c r="X284" t="s">
        <v>1339</v>
      </c>
      <c r="Y284" t="s">
        <v>647</v>
      </c>
      <c r="Z284" t="s">
        <v>110</v>
      </c>
      <c r="AA284" t="str">
        <f>"11366-1330"</f>
        <v>11366-1330</v>
      </c>
      <c r="AB284" t="s">
        <v>462</v>
      </c>
      <c r="AC284" t="s">
        <v>112</v>
      </c>
      <c r="AD284" t="s">
        <v>107</v>
      </c>
      <c r="AE284" t="s">
        <v>113</v>
      </c>
      <c r="AG284" t="s">
        <v>114</v>
      </c>
    </row>
    <row r="285" spans="1:33" x14ac:dyDescent="0.25">
      <c r="A285" t="str">
        <f>"1497010078"</f>
        <v>1497010078</v>
      </c>
      <c r="C285" t="s">
        <v>1340</v>
      </c>
      <c r="G285" t="s">
        <v>273</v>
      </c>
      <c r="H285" t="s">
        <v>274</v>
      </c>
      <c r="J285" t="s">
        <v>275</v>
      </c>
      <c r="K285" t="s">
        <v>276</v>
      </c>
      <c r="L285" t="s">
        <v>106</v>
      </c>
      <c r="M285" t="s">
        <v>107</v>
      </c>
      <c r="R285" t="s">
        <v>1340</v>
      </c>
      <c r="S285" t="s">
        <v>1341</v>
      </c>
      <c r="T285" t="s">
        <v>1159</v>
      </c>
      <c r="U285" t="s">
        <v>110</v>
      </c>
      <c r="V285" t="str">
        <f>"11377"</f>
        <v>11377</v>
      </c>
      <c r="AC285" t="s">
        <v>112</v>
      </c>
      <c r="AD285" t="s">
        <v>107</v>
      </c>
      <c r="AE285" t="s">
        <v>278</v>
      </c>
      <c r="AG285" t="s">
        <v>114</v>
      </c>
    </row>
    <row r="286" spans="1:33" x14ac:dyDescent="0.25">
      <c r="A286" t="str">
        <f>"1770848038"</f>
        <v>1770848038</v>
      </c>
      <c r="B286" t="str">
        <f>"03481752"</f>
        <v>03481752</v>
      </c>
      <c r="C286" t="s">
        <v>1342</v>
      </c>
      <c r="D286" t="s">
        <v>1343</v>
      </c>
      <c r="E286" t="s">
        <v>1344</v>
      </c>
      <c r="G286" t="s">
        <v>176</v>
      </c>
      <c r="H286" t="s">
        <v>177</v>
      </c>
      <c r="I286">
        <v>3264</v>
      </c>
      <c r="J286" t="s">
        <v>178</v>
      </c>
      <c r="L286" t="s">
        <v>514</v>
      </c>
      <c r="M286" t="s">
        <v>107</v>
      </c>
      <c r="R286" t="s">
        <v>1342</v>
      </c>
      <c r="W286" t="s">
        <v>1344</v>
      </c>
      <c r="X286" t="s">
        <v>1345</v>
      </c>
      <c r="Y286" t="s">
        <v>1346</v>
      </c>
      <c r="Z286" t="s">
        <v>110</v>
      </c>
      <c r="AA286" t="str">
        <f>"14607-4000"</f>
        <v>14607-4000</v>
      </c>
      <c r="AB286" t="s">
        <v>172</v>
      </c>
      <c r="AC286" t="s">
        <v>112</v>
      </c>
      <c r="AD286" t="s">
        <v>107</v>
      </c>
      <c r="AE286" t="s">
        <v>113</v>
      </c>
      <c r="AG286" t="s">
        <v>114</v>
      </c>
    </row>
    <row r="287" spans="1:33" x14ac:dyDescent="0.25">
      <c r="A287" t="str">
        <f>"1396756524"</f>
        <v>1396756524</v>
      </c>
      <c r="B287" t="str">
        <f>"02023403"</f>
        <v>02023403</v>
      </c>
      <c r="C287" t="s">
        <v>1347</v>
      </c>
      <c r="D287" t="s">
        <v>1348</v>
      </c>
      <c r="E287" t="s">
        <v>1349</v>
      </c>
      <c r="G287" t="s">
        <v>1350</v>
      </c>
      <c r="H287" t="s">
        <v>1351</v>
      </c>
      <c r="J287" t="s">
        <v>1352</v>
      </c>
      <c r="L287" t="s">
        <v>1293</v>
      </c>
      <c r="M287" t="s">
        <v>107</v>
      </c>
      <c r="R287" t="s">
        <v>1353</v>
      </c>
      <c r="W287" t="s">
        <v>1349</v>
      </c>
      <c r="X287" t="s">
        <v>1354</v>
      </c>
      <c r="Y287" t="s">
        <v>183</v>
      </c>
      <c r="Z287" t="s">
        <v>110</v>
      </c>
      <c r="AA287" t="str">
        <f>"10461-2300"</f>
        <v>10461-2300</v>
      </c>
      <c r="AB287" t="s">
        <v>191</v>
      </c>
      <c r="AC287" t="s">
        <v>112</v>
      </c>
      <c r="AD287" t="s">
        <v>107</v>
      </c>
      <c r="AE287" t="s">
        <v>113</v>
      </c>
      <c r="AG287" t="s">
        <v>114</v>
      </c>
    </row>
    <row r="288" spans="1:33" x14ac:dyDescent="0.25">
      <c r="A288" t="str">
        <f>"1003858390"</f>
        <v>1003858390</v>
      </c>
      <c r="B288" t="str">
        <f>"00273107"</f>
        <v>00273107</v>
      </c>
      <c r="C288" t="s">
        <v>1347</v>
      </c>
      <c r="D288" t="s">
        <v>1355</v>
      </c>
      <c r="E288" t="s">
        <v>1356</v>
      </c>
      <c r="G288" t="s">
        <v>1350</v>
      </c>
      <c r="H288" t="s">
        <v>1351</v>
      </c>
      <c r="J288" t="s">
        <v>1357</v>
      </c>
      <c r="L288" t="s">
        <v>1358</v>
      </c>
      <c r="M288" t="s">
        <v>167</v>
      </c>
      <c r="R288" t="s">
        <v>1356</v>
      </c>
      <c r="W288" t="s">
        <v>1356</v>
      </c>
      <c r="X288" t="s">
        <v>1354</v>
      </c>
      <c r="Y288" t="s">
        <v>183</v>
      </c>
      <c r="Z288" t="s">
        <v>110</v>
      </c>
      <c r="AA288" t="str">
        <f>"10461-2392"</f>
        <v>10461-2392</v>
      </c>
      <c r="AB288" t="s">
        <v>184</v>
      </c>
      <c r="AC288" t="s">
        <v>112</v>
      </c>
      <c r="AD288" t="s">
        <v>107</v>
      </c>
      <c r="AE288" t="s">
        <v>113</v>
      </c>
      <c r="AG288" t="s">
        <v>114</v>
      </c>
    </row>
    <row r="289" spans="1:33" x14ac:dyDescent="0.25">
      <c r="A289" t="str">
        <f>"1336561877"</f>
        <v>1336561877</v>
      </c>
      <c r="C289" t="s">
        <v>1359</v>
      </c>
      <c r="G289" t="s">
        <v>103</v>
      </c>
      <c r="H289" t="s">
        <v>104</v>
      </c>
      <c r="J289" t="s">
        <v>105</v>
      </c>
      <c r="K289" t="s">
        <v>276</v>
      </c>
      <c r="L289" t="s">
        <v>373</v>
      </c>
      <c r="M289" t="s">
        <v>107</v>
      </c>
      <c r="R289" t="s">
        <v>1359</v>
      </c>
      <c r="S289" t="s">
        <v>1360</v>
      </c>
      <c r="T289" t="s">
        <v>109</v>
      </c>
      <c r="U289" t="s">
        <v>110</v>
      </c>
      <c r="V289" t="str">
        <f>"113742259"</f>
        <v>113742259</v>
      </c>
      <c r="AC289" t="s">
        <v>112</v>
      </c>
      <c r="AD289" t="s">
        <v>107</v>
      </c>
      <c r="AE289" t="s">
        <v>278</v>
      </c>
      <c r="AG289" t="s">
        <v>114</v>
      </c>
    </row>
    <row r="290" spans="1:33" x14ac:dyDescent="0.25">
      <c r="A290" t="str">
        <f>"1558377507"</f>
        <v>1558377507</v>
      </c>
      <c r="B290" t="str">
        <f>"04082986"</f>
        <v>04082986</v>
      </c>
      <c r="C290" t="s">
        <v>1361</v>
      </c>
      <c r="D290" t="s">
        <v>1362</v>
      </c>
      <c r="E290" t="s">
        <v>1363</v>
      </c>
      <c r="G290" t="s">
        <v>103</v>
      </c>
      <c r="H290" t="s">
        <v>104</v>
      </c>
      <c r="J290" t="s">
        <v>105</v>
      </c>
      <c r="L290" t="s">
        <v>106</v>
      </c>
      <c r="M290" t="s">
        <v>107</v>
      </c>
      <c r="R290" t="s">
        <v>1361</v>
      </c>
      <c r="W290" t="s">
        <v>1364</v>
      </c>
      <c r="X290" t="s">
        <v>1365</v>
      </c>
      <c r="Y290" t="s">
        <v>1366</v>
      </c>
      <c r="Z290" t="s">
        <v>110</v>
      </c>
      <c r="AA290" t="str">
        <f>"11798-3123"</f>
        <v>11798-3123</v>
      </c>
      <c r="AB290" t="s">
        <v>111</v>
      </c>
      <c r="AC290" t="s">
        <v>112</v>
      </c>
      <c r="AD290" t="s">
        <v>107</v>
      </c>
      <c r="AE290" t="s">
        <v>113</v>
      </c>
      <c r="AG290" t="s">
        <v>114</v>
      </c>
    </row>
    <row r="291" spans="1:33" x14ac:dyDescent="0.25">
      <c r="A291" t="str">
        <f>"1730432477"</f>
        <v>1730432477</v>
      </c>
      <c r="C291" t="s">
        <v>1367</v>
      </c>
      <c r="G291" t="s">
        <v>103</v>
      </c>
      <c r="H291" t="s">
        <v>104</v>
      </c>
      <c r="J291" t="s">
        <v>105</v>
      </c>
      <c r="K291" t="s">
        <v>276</v>
      </c>
      <c r="L291" t="s">
        <v>106</v>
      </c>
      <c r="M291" t="s">
        <v>107</v>
      </c>
      <c r="R291" t="s">
        <v>1367</v>
      </c>
      <c r="S291" t="s">
        <v>1368</v>
      </c>
      <c r="T291" t="s">
        <v>240</v>
      </c>
      <c r="U291" t="s">
        <v>110</v>
      </c>
      <c r="V291" t="str">
        <f>"112111100"</f>
        <v>112111100</v>
      </c>
      <c r="AC291" t="s">
        <v>112</v>
      </c>
      <c r="AD291" t="s">
        <v>107</v>
      </c>
      <c r="AE291" t="s">
        <v>278</v>
      </c>
      <c r="AG291" t="s">
        <v>114</v>
      </c>
    </row>
    <row r="292" spans="1:33" x14ac:dyDescent="0.25">
      <c r="A292" t="str">
        <f>"1437326253"</f>
        <v>1437326253</v>
      </c>
      <c r="C292" t="s">
        <v>1369</v>
      </c>
      <c r="G292" t="s">
        <v>103</v>
      </c>
      <c r="H292" t="s">
        <v>104</v>
      </c>
      <c r="J292" t="s">
        <v>105</v>
      </c>
      <c r="K292" t="s">
        <v>276</v>
      </c>
      <c r="L292" t="s">
        <v>106</v>
      </c>
      <c r="M292" t="s">
        <v>107</v>
      </c>
      <c r="R292" t="s">
        <v>1369</v>
      </c>
      <c r="S292" t="s">
        <v>108</v>
      </c>
      <c r="T292" t="s">
        <v>109</v>
      </c>
      <c r="U292" t="s">
        <v>110</v>
      </c>
      <c r="V292" t="str">
        <f>"113742240"</f>
        <v>113742240</v>
      </c>
      <c r="AC292" t="s">
        <v>112</v>
      </c>
      <c r="AD292" t="s">
        <v>107</v>
      </c>
      <c r="AE292" t="s">
        <v>278</v>
      </c>
      <c r="AG292" t="s">
        <v>114</v>
      </c>
    </row>
    <row r="293" spans="1:33" x14ac:dyDescent="0.25">
      <c r="A293" t="str">
        <f>"1689831596"</f>
        <v>1689831596</v>
      </c>
      <c r="C293" t="s">
        <v>1370</v>
      </c>
      <c r="G293" t="s">
        <v>103</v>
      </c>
      <c r="H293" t="s">
        <v>104</v>
      </c>
      <c r="J293" t="s">
        <v>105</v>
      </c>
      <c r="K293" t="s">
        <v>276</v>
      </c>
      <c r="L293" t="s">
        <v>106</v>
      </c>
      <c r="M293" t="s">
        <v>107</v>
      </c>
      <c r="AC293" t="s">
        <v>112</v>
      </c>
      <c r="AD293" t="s">
        <v>107</v>
      </c>
      <c r="AE293" t="s">
        <v>278</v>
      </c>
      <c r="AG293" t="s">
        <v>114</v>
      </c>
    </row>
    <row r="294" spans="1:33" x14ac:dyDescent="0.25">
      <c r="A294" t="str">
        <f>"1760721088"</f>
        <v>1760721088</v>
      </c>
      <c r="C294" t="s">
        <v>1371</v>
      </c>
      <c r="G294" t="s">
        <v>103</v>
      </c>
      <c r="H294" t="s">
        <v>104</v>
      </c>
      <c r="J294" t="s">
        <v>105</v>
      </c>
      <c r="K294" t="s">
        <v>276</v>
      </c>
      <c r="L294" t="s">
        <v>373</v>
      </c>
      <c r="M294" t="s">
        <v>107</v>
      </c>
      <c r="R294" t="s">
        <v>1371</v>
      </c>
      <c r="S294" t="s">
        <v>108</v>
      </c>
      <c r="T294" t="s">
        <v>109</v>
      </c>
      <c r="U294" t="s">
        <v>110</v>
      </c>
      <c r="V294" t="str">
        <f>"113742259"</f>
        <v>113742259</v>
      </c>
      <c r="AC294" t="s">
        <v>112</v>
      </c>
      <c r="AD294" t="s">
        <v>107</v>
      </c>
      <c r="AE294" t="s">
        <v>278</v>
      </c>
      <c r="AG294" t="s">
        <v>114</v>
      </c>
    </row>
    <row r="295" spans="1:33" x14ac:dyDescent="0.25">
      <c r="A295" t="str">
        <f>"1619144144"</f>
        <v>1619144144</v>
      </c>
      <c r="C295" t="s">
        <v>1372</v>
      </c>
      <c r="G295" t="s">
        <v>103</v>
      </c>
      <c r="H295" t="s">
        <v>104</v>
      </c>
      <c r="J295" t="s">
        <v>105</v>
      </c>
      <c r="K295" t="s">
        <v>276</v>
      </c>
      <c r="L295" t="s">
        <v>106</v>
      </c>
      <c r="M295" t="s">
        <v>107</v>
      </c>
      <c r="R295" t="s">
        <v>1372</v>
      </c>
      <c r="S295" t="s">
        <v>108</v>
      </c>
      <c r="T295" t="s">
        <v>109</v>
      </c>
      <c r="U295" t="s">
        <v>110</v>
      </c>
      <c r="V295" t="str">
        <f>"113742240"</f>
        <v>113742240</v>
      </c>
      <c r="AC295" t="s">
        <v>112</v>
      </c>
      <c r="AD295" t="s">
        <v>107</v>
      </c>
      <c r="AE295" t="s">
        <v>278</v>
      </c>
      <c r="AG295" t="s">
        <v>114</v>
      </c>
    </row>
    <row r="296" spans="1:33" x14ac:dyDescent="0.25">
      <c r="A296" t="str">
        <f>"1750558920"</f>
        <v>1750558920</v>
      </c>
      <c r="C296" t="s">
        <v>1373</v>
      </c>
      <c r="G296" t="s">
        <v>103</v>
      </c>
      <c r="H296" t="s">
        <v>104</v>
      </c>
      <c r="J296" t="s">
        <v>105</v>
      </c>
      <c r="K296" t="s">
        <v>276</v>
      </c>
      <c r="L296" t="s">
        <v>373</v>
      </c>
      <c r="M296" t="s">
        <v>107</v>
      </c>
      <c r="R296" t="s">
        <v>1373</v>
      </c>
      <c r="S296" t="s">
        <v>108</v>
      </c>
      <c r="T296" t="s">
        <v>109</v>
      </c>
      <c r="U296" t="s">
        <v>110</v>
      </c>
      <c r="V296" t="str">
        <f>"113742240"</f>
        <v>113742240</v>
      </c>
      <c r="AC296" t="s">
        <v>112</v>
      </c>
      <c r="AD296" t="s">
        <v>107</v>
      </c>
      <c r="AE296" t="s">
        <v>278</v>
      </c>
      <c r="AG296" t="s">
        <v>114</v>
      </c>
    </row>
    <row r="297" spans="1:33" x14ac:dyDescent="0.25">
      <c r="A297" t="str">
        <f>"1083040273"</f>
        <v>1083040273</v>
      </c>
      <c r="C297" t="s">
        <v>1374</v>
      </c>
      <c r="G297" t="s">
        <v>103</v>
      </c>
      <c r="H297" t="s">
        <v>104</v>
      </c>
      <c r="J297" t="s">
        <v>105</v>
      </c>
      <c r="K297" t="s">
        <v>276</v>
      </c>
      <c r="L297" t="s">
        <v>106</v>
      </c>
      <c r="M297" t="s">
        <v>107</v>
      </c>
      <c r="R297" t="s">
        <v>1374</v>
      </c>
      <c r="S297" t="s">
        <v>1375</v>
      </c>
      <c r="T297" t="s">
        <v>325</v>
      </c>
      <c r="U297" t="s">
        <v>110</v>
      </c>
      <c r="V297" t="str">
        <f>"100033304"</f>
        <v>100033304</v>
      </c>
      <c r="AC297" t="s">
        <v>112</v>
      </c>
      <c r="AD297" t="s">
        <v>107</v>
      </c>
      <c r="AE297" t="s">
        <v>278</v>
      </c>
      <c r="AG297" t="s">
        <v>114</v>
      </c>
    </row>
    <row r="298" spans="1:33" x14ac:dyDescent="0.25">
      <c r="A298" t="str">
        <f>"1376808915"</f>
        <v>1376808915</v>
      </c>
      <c r="C298" t="s">
        <v>1376</v>
      </c>
      <c r="G298" t="s">
        <v>103</v>
      </c>
      <c r="H298" t="s">
        <v>104</v>
      </c>
      <c r="J298" t="s">
        <v>105</v>
      </c>
      <c r="K298" t="s">
        <v>276</v>
      </c>
      <c r="L298" t="s">
        <v>373</v>
      </c>
      <c r="M298" t="s">
        <v>107</v>
      </c>
      <c r="R298" t="s">
        <v>1376</v>
      </c>
      <c r="S298" t="s">
        <v>1377</v>
      </c>
      <c r="T298" t="s">
        <v>1378</v>
      </c>
      <c r="U298" t="s">
        <v>110</v>
      </c>
      <c r="V298" t="str">
        <f>"114112322"</f>
        <v>114112322</v>
      </c>
      <c r="AC298" t="s">
        <v>112</v>
      </c>
      <c r="AD298" t="s">
        <v>107</v>
      </c>
      <c r="AE298" t="s">
        <v>278</v>
      </c>
      <c r="AG298" t="s">
        <v>114</v>
      </c>
    </row>
    <row r="299" spans="1:33" x14ac:dyDescent="0.25">
      <c r="A299" t="str">
        <f>"1376862524"</f>
        <v>1376862524</v>
      </c>
      <c r="C299" t="s">
        <v>1379</v>
      </c>
      <c r="G299" t="s">
        <v>103</v>
      </c>
      <c r="H299" t="s">
        <v>104</v>
      </c>
      <c r="J299" t="s">
        <v>105</v>
      </c>
      <c r="K299" t="s">
        <v>276</v>
      </c>
      <c r="L299" t="s">
        <v>106</v>
      </c>
      <c r="M299" t="s">
        <v>107</v>
      </c>
      <c r="R299" t="s">
        <v>1379</v>
      </c>
      <c r="S299" t="s">
        <v>1380</v>
      </c>
      <c r="T299" t="s">
        <v>1159</v>
      </c>
      <c r="U299" t="s">
        <v>110</v>
      </c>
      <c r="V299" t="str">
        <f>"113773653"</f>
        <v>113773653</v>
      </c>
      <c r="AC299" t="s">
        <v>112</v>
      </c>
      <c r="AD299" t="s">
        <v>107</v>
      </c>
      <c r="AE299" t="s">
        <v>278</v>
      </c>
      <c r="AG299" t="s">
        <v>114</v>
      </c>
    </row>
    <row r="300" spans="1:33" x14ac:dyDescent="0.25">
      <c r="A300" t="str">
        <f>"1720245764"</f>
        <v>1720245764</v>
      </c>
      <c r="C300" t="s">
        <v>1381</v>
      </c>
      <c r="G300" t="s">
        <v>103</v>
      </c>
      <c r="H300" t="s">
        <v>104</v>
      </c>
      <c r="J300" t="s">
        <v>105</v>
      </c>
      <c r="K300" t="s">
        <v>276</v>
      </c>
      <c r="L300" t="s">
        <v>106</v>
      </c>
      <c r="M300" t="s">
        <v>107</v>
      </c>
      <c r="R300" t="s">
        <v>1381</v>
      </c>
      <c r="S300" t="s">
        <v>1382</v>
      </c>
      <c r="T300" t="s">
        <v>1383</v>
      </c>
      <c r="U300" t="s">
        <v>110</v>
      </c>
      <c r="V300" t="str">
        <f>"114250000"</f>
        <v>114250000</v>
      </c>
      <c r="AC300" t="s">
        <v>112</v>
      </c>
      <c r="AD300" t="s">
        <v>107</v>
      </c>
      <c r="AE300" t="s">
        <v>278</v>
      </c>
      <c r="AG300" t="s">
        <v>114</v>
      </c>
    </row>
    <row r="301" spans="1:33" x14ac:dyDescent="0.25">
      <c r="A301" t="str">
        <f>"1659548170"</f>
        <v>1659548170</v>
      </c>
      <c r="C301" t="s">
        <v>1384</v>
      </c>
      <c r="G301" t="s">
        <v>103</v>
      </c>
      <c r="H301" t="s">
        <v>104</v>
      </c>
      <c r="J301" t="s">
        <v>105</v>
      </c>
      <c r="K301" t="s">
        <v>276</v>
      </c>
      <c r="L301" t="s">
        <v>373</v>
      </c>
      <c r="M301" t="s">
        <v>107</v>
      </c>
      <c r="R301" t="s">
        <v>1384</v>
      </c>
      <c r="S301" t="s">
        <v>108</v>
      </c>
      <c r="T301" t="s">
        <v>109</v>
      </c>
      <c r="U301" t="s">
        <v>110</v>
      </c>
      <c r="V301" t="str">
        <f>"113742240"</f>
        <v>113742240</v>
      </c>
      <c r="AC301" t="s">
        <v>112</v>
      </c>
      <c r="AD301" t="s">
        <v>107</v>
      </c>
      <c r="AE301" t="s">
        <v>278</v>
      </c>
      <c r="AG301" t="s">
        <v>114</v>
      </c>
    </row>
    <row r="302" spans="1:33" x14ac:dyDescent="0.25">
      <c r="A302" t="str">
        <f>"1467619627"</f>
        <v>1467619627</v>
      </c>
      <c r="B302" t="str">
        <f>"04087789"</f>
        <v>04087789</v>
      </c>
      <c r="C302" t="s">
        <v>1385</v>
      </c>
      <c r="D302" t="s">
        <v>1386</v>
      </c>
      <c r="E302" t="s">
        <v>1387</v>
      </c>
      <c r="G302" t="s">
        <v>103</v>
      </c>
      <c r="H302" t="s">
        <v>104</v>
      </c>
      <c r="J302" t="s">
        <v>105</v>
      </c>
      <c r="L302" t="s">
        <v>106</v>
      </c>
      <c r="M302" t="s">
        <v>107</v>
      </c>
      <c r="R302" t="s">
        <v>1385</v>
      </c>
      <c r="W302" t="s">
        <v>1387</v>
      </c>
      <c r="X302" t="s">
        <v>119</v>
      </c>
      <c r="Y302" t="s">
        <v>109</v>
      </c>
      <c r="Z302" t="s">
        <v>110</v>
      </c>
      <c r="AA302" t="str">
        <f>"11374-2259"</f>
        <v>11374-2259</v>
      </c>
      <c r="AB302" t="s">
        <v>111</v>
      </c>
      <c r="AC302" t="s">
        <v>112</v>
      </c>
      <c r="AD302" t="s">
        <v>107</v>
      </c>
      <c r="AE302" t="s">
        <v>113</v>
      </c>
      <c r="AG302" t="s">
        <v>114</v>
      </c>
    </row>
    <row r="303" spans="1:33" x14ac:dyDescent="0.25">
      <c r="A303" t="str">
        <f>"1871870410"</f>
        <v>1871870410</v>
      </c>
      <c r="B303" t="str">
        <f>"02542318"</f>
        <v>02542318</v>
      </c>
      <c r="C303" t="s">
        <v>1388</v>
      </c>
      <c r="D303" t="s">
        <v>1389</v>
      </c>
      <c r="E303" t="s">
        <v>1388</v>
      </c>
      <c r="G303" t="s">
        <v>103</v>
      </c>
      <c r="H303" t="s">
        <v>104</v>
      </c>
      <c r="J303" t="s">
        <v>105</v>
      </c>
      <c r="L303" t="s">
        <v>106</v>
      </c>
      <c r="M303" t="s">
        <v>107</v>
      </c>
      <c r="R303" t="s">
        <v>1388</v>
      </c>
      <c r="W303" t="s">
        <v>1388</v>
      </c>
      <c r="X303" t="s">
        <v>119</v>
      </c>
      <c r="Y303" t="s">
        <v>109</v>
      </c>
      <c r="Z303" t="s">
        <v>110</v>
      </c>
      <c r="AA303" t="str">
        <f>"11374-2259"</f>
        <v>11374-2259</v>
      </c>
      <c r="AB303" t="s">
        <v>111</v>
      </c>
      <c r="AC303" t="s">
        <v>112</v>
      </c>
      <c r="AD303" t="s">
        <v>107</v>
      </c>
      <c r="AE303" t="s">
        <v>113</v>
      </c>
      <c r="AG303" t="s">
        <v>114</v>
      </c>
    </row>
    <row r="304" spans="1:33" x14ac:dyDescent="0.25">
      <c r="A304" t="str">
        <f>"1467452946"</f>
        <v>1467452946</v>
      </c>
      <c r="B304" t="str">
        <f>"02995760"</f>
        <v>02995760</v>
      </c>
      <c r="C304" t="s">
        <v>1390</v>
      </c>
      <c r="D304" t="s">
        <v>1391</v>
      </c>
      <c r="E304" t="s">
        <v>1392</v>
      </c>
      <c r="G304" t="s">
        <v>1393</v>
      </c>
      <c r="H304" t="s">
        <v>1394</v>
      </c>
      <c r="I304">
        <v>2016</v>
      </c>
      <c r="J304" t="s">
        <v>1395</v>
      </c>
      <c r="L304" t="s">
        <v>405</v>
      </c>
      <c r="M304" t="s">
        <v>167</v>
      </c>
      <c r="R304" t="s">
        <v>1390</v>
      </c>
      <c r="W304" t="s">
        <v>1390</v>
      </c>
      <c r="X304" t="s">
        <v>1396</v>
      </c>
      <c r="Y304" t="s">
        <v>422</v>
      </c>
      <c r="Z304" t="s">
        <v>110</v>
      </c>
      <c r="AA304" t="str">
        <f>"11432-1897"</f>
        <v>11432-1897</v>
      </c>
      <c r="AB304" t="s">
        <v>408</v>
      </c>
      <c r="AC304" t="s">
        <v>112</v>
      </c>
      <c r="AD304" t="s">
        <v>107</v>
      </c>
      <c r="AE304" t="s">
        <v>113</v>
      </c>
      <c r="AG304" t="s">
        <v>114</v>
      </c>
    </row>
    <row r="305" spans="1:33" x14ac:dyDescent="0.25">
      <c r="A305" t="str">
        <f>"1497080113"</f>
        <v>1497080113</v>
      </c>
      <c r="B305" t="str">
        <f>"03159831"</f>
        <v>03159831</v>
      </c>
      <c r="C305" t="s">
        <v>1397</v>
      </c>
      <c r="D305" t="s">
        <v>1398</v>
      </c>
      <c r="E305" t="s">
        <v>1397</v>
      </c>
      <c r="G305" t="s">
        <v>1393</v>
      </c>
      <c r="H305" t="s">
        <v>1394</v>
      </c>
      <c r="I305">
        <v>2016</v>
      </c>
      <c r="J305" t="s">
        <v>1395</v>
      </c>
      <c r="L305" t="s">
        <v>67</v>
      </c>
      <c r="M305" t="s">
        <v>107</v>
      </c>
      <c r="R305" t="s">
        <v>1397</v>
      </c>
      <c r="W305" t="s">
        <v>1397</v>
      </c>
      <c r="X305" t="s">
        <v>1399</v>
      </c>
      <c r="Y305" t="s">
        <v>422</v>
      </c>
      <c r="Z305" t="s">
        <v>110</v>
      </c>
      <c r="AA305" t="str">
        <f>"11432-1897"</f>
        <v>11432-1897</v>
      </c>
      <c r="AB305" t="s">
        <v>408</v>
      </c>
      <c r="AC305" t="s">
        <v>112</v>
      </c>
      <c r="AD305" t="s">
        <v>107</v>
      </c>
      <c r="AE305" t="s">
        <v>113</v>
      </c>
      <c r="AG305" t="s">
        <v>114</v>
      </c>
    </row>
    <row r="306" spans="1:33" x14ac:dyDescent="0.25">
      <c r="A306" t="str">
        <f>"1083912158"</f>
        <v>1083912158</v>
      </c>
      <c r="B306" t="str">
        <f>"03483507"</f>
        <v>03483507</v>
      </c>
      <c r="C306" t="s">
        <v>1400</v>
      </c>
      <c r="D306" t="s">
        <v>1401</v>
      </c>
      <c r="E306" t="s">
        <v>1402</v>
      </c>
      <c r="G306" t="s">
        <v>1094</v>
      </c>
      <c r="H306" t="s">
        <v>1095</v>
      </c>
      <c r="I306">
        <v>273</v>
      </c>
      <c r="J306" t="s">
        <v>1096</v>
      </c>
      <c r="L306" t="s">
        <v>117</v>
      </c>
      <c r="M306" t="s">
        <v>107</v>
      </c>
      <c r="R306" t="s">
        <v>1402</v>
      </c>
      <c r="W306" t="s">
        <v>1402</v>
      </c>
      <c r="X306" t="s">
        <v>1403</v>
      </c>
      <c r="Y306" t="s">
        <v>422</v>
      </c>
      <c r="Z306" t="s">
        <v>110</v>
      </c>
      <c r="AA306" t="str">
        <f>"11432-1121"</f>
        <v>11432-1121</v>
      </c>
      <c r="AB306" t="s">
        <v>172</v>
      </c>
      <c r="AC306" t="s">
        <v>112</v>
      </c>
      <c r="AD306" t="s">
        <v>107</v>
      </c>
      <c r="AE306" t="s">
        <v>113</v>
      </c>
      <c r="AG306" t="s">
        <v>114</v>
      </c>
    </row>
    <row r="307" spans="1:33" x14ac:dyDescent="0.25">
      <c r="A307" t="str">
        <f>"1073632428"</f>
        <v>1073632428</v>
      </c>
      <c r="B307" t="str">
        <f>"02151288"</f>
        <v>02151288</v>
      </c>
      <c r="C307" t="s">
        <v>1404</v>
      </c>
      <c r="D307" t="s">
        <v>1405</v>
      </c>
      <c r="E307" t="s">
        <v>1406</v>
      </c>
      <c r="G307" t="s">
        <v>1094</v>
      </c>
      <c r="H307" t="s">
        <v>1095</v>
      </c>
      <c r="I307">
        <v>273</v>
      </c>
      <c r="J307" t="s">
        <v>1096</v>
      </c>
      <c r="L307" t="s">
        <v>117</v>
      </c>
      <c r="M307" t="s">
        <v>107</v>
      </c>
      <c r="R307" t="s">
        <v>1407</v>
      </c>
      <c r="W307" t="s">
        <v>1406</v>
      </c>
      <c r="X307" t="s">
        <v>1408</v>
      </c>
      <c r="Y307" t="s">
        <v>183</v>
      </c>
      <c r="Z307" t="s">
        <v>110</v>
      </c>
      <c r="AA307" t="str">
        <f>"10461-1197"</f>
        <v>10461-1197</v>
      </c>
      <c r="AB307" t="s">
        <v>172</v>
      </c>
      <c r="AC307" t="s">
        <v>112</v>
      </c>
      <c r="AD307" t="s">
        <v>107</v>
      </c>
      <c r="AE307" t="s">
        <v>113</v>
      </c>
      <c r="AG307" t="s">
        <v>114</v>
      </c>
    </row>
    <row r="308" spans="1:33" x14ac:dyDescent="0.25">
      <c r="A308" t="str">
        <f>"1275571408"</f>
        <v>1275571408</v>
      </c>
      <c r="B308" t="str">
        <f>"01366027"</f>
        <v>01366027</v>
      </c>
      <c r="C308" t="s">
        <v>1409</v>
      </c>
      <c r="D308" t="s">
        <v>1410</v>
      </c>
      <c r="E308" t="s">
        <v>1411</v>
      </c>
      <c r="G308" t="s">
        <v>1094</v>
      </c>
      <c r="H308" t="s">
        <v>1095</v>
      </c>
      <c r="I308">
        <v>273</v>
      </c>
      <c r="J308" t="s">
        <v>1096</v>
      </c>
      <c r="L308" t="s">
        <v>117</v>
      </c>
      <c r="M308" t="s">
        <v>167</v>
      </c>
      <c r="R308" t="s">
        <v>1412</v>
      </c>
      <c r="W308" t="s">
        <v>1411</v>
      </c>
      <c r="X308" t="s">
        <v>1413</v>
      </c>
      <c r="Y308" t="s">
        <v>325</v>
      </c>
      <c r="Z308" t="s">
        <v>110</v>
      </c>
      <c r="AA308" t="str">
        <f>"10029-6500"</f>
        <v>10029-6500</v>
      </c>
      <c r="AB308" t="s">
        <v>172</v>
      </c>
      <c r="AC308" t="s">
        <v>112</v>
      </c>
      <c r="AD308" t="s">
        <v>107</v>
      </c>
      <c r="AE308" t="s">
        <v>113</v>
      </c>
      <c r="AG308" t="s">
        <v>114</v>
      </c>
    </row>
    <row r="309" spans="1:33" x14ac:dyDescent="0.25">
      <c r="A309" t="str">
        <f>"1033202544"</f>
        <v>1033202544</v>
      </c>
      <c r="B309" t="str">
        <f>"01077632"</f>
        <v>01077632</v>
      </c>
      <c r="C309" t="s">
        <v>1414</v>
      </c>
      <c r="D309" t="s">
        <v>1415</v>
      </c>
      <c r="E309" t="s">
        <v>1416</v>
      </c>
      <c r="G309" t="s">
        <v>1094</v>
      </c>
      <c r="H309" t="s">
        <v>1095</v>
      </c>
      <c r="I309">
        <v>273</v>
      </c>
      <c r="J309" t="s">
        <v>1096</v>
      </c>
      <c r="L309" t="s">
        <v>166</v>
      </c>
      <c r="M309" t="s">
        <v>167</v>
      </c>
      <c r="R309" t="s">
        <v>1417</v>
      </c>
      <c r="W309" t="s">
        <v>1416</v>
      </c>
      <c r="X309" t="s">
        <v>1418</v>
      </c>
      <c r="Y309" t="s">
        <v>1001</v>
      </c>
      <c r="Z309" t="s">
        <v>110</v>
      </c>
      <c r="AA309" t="str">
        <f>"11691"</f>
        <v>11691</v>
      </c>
      <c r="AB309" t="s">
        <v>172</v>
      </c>
      <c r="AC309" t="s">
        <v>112</v>
      </c>
      <c r="AD309" t="s">
        <v>107</v>
      </c>
      <c r="AE309" t="s">
        <v>113</v>
      </c>
      <c r="AG309" t="s">
        <v>114</v>
      </c>
    </row>
    <row r="310" spans="1:33" x14ac:dyDescent="0.25">
      <c r="A310" t="str">
        <f>"1821382250"</f>
        <v>1821382250</v>
      </c>
      <c r="B310" t="str">
        <f>"04033785"</f>
        <v>04033785</v>
      </c>
      <c r="C310" t="s">
        <v>1419</v>
      </c>
      <c r="D310" t="s">
        <v>1420</v>
      </c>
      <c r="E310" t="s">
        <v>1421</v>
      </c>
      <c r="G310" t="s">
        <v>1094</v>
      </c>
      <c r="H310" t="s">
        <v>1095</v>
      </c>
      <c r="I310">
        <v>273</v>
      </c>
      <c r="J310" t="s">
        <v>1096</v>
      </c>
      <c r="L310" t="s">
        <v>106</v>
      </c>
      <c r="M310" t="s">
        <v>107</v>
      </c>
      <c r="R310" t="s">
        <v>1422</v>
      </c>
      <c r="W310" t="s">
        <v>1421</v>
      </c>
      <c r="X310" t="s">
        <v>1423</v>
      </c>
      <c r="Y310" t="s">
        <v>1424</v>
      </c>
      <c r="Z310" t="s">
        <v>110</v>
      </c>
      <c r="AA310" t="str">
        <f>"12208-1707"</f>
        <v>12208-1707</v>
      </c>
      <c r="AB310" t="s">
        <v>172</v>
      </c>
      <c r="AC310" t="s">
        <v>112</v>
      </c>
      <c r="AD310" t="s">
        <v>107</v>
      </c>
      <c r="AE310" t="s">
        <v>113</v>
      </c>
      <c r="AG310" t="s">
        <v>114</v>
      </c>
    </row>
    <row r="311" spans="1:33" x14ac:dyDescent="0.25">
      <c r="A311" t="str">
        <f>"1346458478"</f>
        <v>1346458478</v>
      </c>
      <c r="B311" t="str">
        <f>"03127699"</f>
        <v>03127699</v>
      </c>
      <c r="C311" t="s">
        <v>1425</v>
      </c>
      <c r="D311" t="s">
        <v>1426</v>
      </c>
      <c r="E311" t="s">
        <v>1427</v>
      </c>
      <c r="G311" t="s">
        <v>1094</v>
      </c>
      <c r="H311" t="s">
        <v>1095</v>
      </c>
      <c r="I311">
        <v>273</v>
      </c>
      <c r="J311" t="s">
        <v>1096</v>
      </c>
      <c r="L311" t="s">
        <v>117</v>
      </c>
      <c r="M311" t="s">
        <v>107</v>
      </c>
      <c r="R311" t="s">
        <v>1427</v>
      </c>
      <c r="W311" t="s">
        <v>1428</v>
      </c>
      <c r="X311" t="s">
        <v>1429</v>
      </c>
      <c r="Y311" t="s">
        <v>240</v>
      </c>
      <c r="Z311" t="s">
        <v>110</v>
      </c>
      <c r="AA311" t="str">
        <f>"11203-2054"</f>
        <v>11203-2054</v>
      </c>
      <c r="AB311" t="s">
        <v>172</v>
      </c>
      <c r="AC311" t="s">
        <v>112</v>
      </c>
      <c r="AD311" t="s">
        <v>107</v>
      </c>
      <c r="AE311" t="s">
        <v>113</v>
      </c>
      <c r="AG311" t="s">
        <v>114</v>
      </c>
    </row>
    <row r="312" spans="1:33" x14ac:dyDescent="0.25">
      <c r="A312" t="str">
        <f>"1053645747"</f>
        <v>1053645747</v>
      </c>
      <c r="B312" t="str">
        <f>"03166850"</f>
        <v>03166850</v>
      </c>
      <c r="C312" t="s">
        <v>1430</v>
      </c>
      <c r="D312" t="s">
        <v>1431</v>
      </c>
      <c r="E312" t="s">
        <v>1432</v>
      </c>
      <c r="G312" t="s">
        <v>1094</v>
      </c>
      <c r="H312" t="s">
        <v>1095</v>
      </c>
      <c r="I312">
        <v>273</v>
      </c>
      <c r="J312" t="s">
        <v>1096</v>
      </c>
      <c r="L312" t="s">
        <v>215</v>
      </c>
      <c r="M312" t="s">
        <v>107</v>
      </c>
      <c r="R312" t="s">
        <v>1432</v>
      </c>
      <c r="W312" t="s">
        <v>1433</v>
      </c>
      <c r="X312" t="s">
        <v>1434</v>
      </c>
      <c r="Y312" t="s">
        <v>240</v>
      </c>
      <c r="Z312" t="s">
        <v>110</v>
      </c>
      <c r="AA312" t="str">
        <f>"11206-5317"</f>
        <v>11206-5317</v>
      </c>
      <c r="AB312" t="s">
        <v>172</v>
      </c>
      <c r="AC312" t="s">
        <v>112</v>
      </c>
      <c r="AD312" t="s">
        <v>107</v>
      </c>
      <c r="AE312" t="s">
        <v>113</v>
      </c>
      <c r="AG312" t="s">
        <v>114</v>
      </c>
    </row>
    <row r="313" spans="1:33" x14ac:dyDescent="0.25">
      <c r="A313" t="str">
        <f>"1598934127"</f>
        <v>1598934127</v>
      </c>
      <c r="B313" t="str">
        <f>"02957977"</f>
        <v>02957977</v>
      </c>
      <c r="C313" t="s">
        <v>1435</v>
      </c>
      <c r="D313" t="s">
        <v>1436</v>
      </c>
      <c r="E313" t="s">
        <v>1437</v>
      </c>
      <c r="G313" t="s">
        <v>1094</v>
      </c>
      <c r="H313" t="s">
        <v>1095</v>
      </c>
      <c r="I313">
        <v>273</v>
      </c>
      <c r="J313" t="s">
        <v>1096</v>
      </c>
      <c r="L313" t="s">
        <v>117</v>
      </c>
      <c r="M313" t="s">
        <v>107</v>
      </c>
      <c r="R313" t="s">
        <v>1438</v>
      </c>
      <c r="W313" t="s">
        <v>1437</v>
      </c>
      <c r="X313" t="s">
        <v>1439</v>
      </c>
      <c r="Y313" t="s">
        <v>1001</v>
      </c>
      <c r="Z313" t="s">
        <v>110</v>
      </c>
      <c r="AA313" t="str">
        <f>"11691-4423"</f>
        <v>11691-4423</v>
      </c>
      <c r="AB313" t="s">
        <v>172</v>
      </c>
      <c r="AC313" t="s">
        <v>112</v>
      </c>
      <c r="AD313" t="s">
        <v>107</v>
      </c>
      <c r="AE313" t="s">
        <v>113</v>
      </c>
      <c r="AG313" t="s">
        <v>114</v>
      </c>
    </row>
    <row r="314" spans="1:33" x14ac:dyDescent="0.25">
      <c r="A314" t="str">
        <f>"1790079168"</f>
        <v>1790079168</v>
      </c>
      <c r="B314" t="str">
        <f>"04092215"</f>
        <v>04092215</v>
      </c>
      <c r="C314" t="s">
        <v>1440</v>
      </c>
      <c r="D314" t="s">
        <v>1441</v>
      </c>
      <c r="E314" t="s">
        <v>1442</v>
      </c>
      <c r="G314" t="s">
        <v>1094</v>
      </c>
      <c r="H314" t="s">
        <v>1095</v>
      </c>
      <c r="I314">
        <v>273</v>
      </c>
      <c r="J314" t="s">
        <v>1096</v>
      </c>
      <c r="L314" t="s">
        <v>106</v>
      </c>
      <c r="M314" t="s">
        <v>107</v>
      </c>
      <c r="R314" t="s">
        <v>1443</v>
      </c>
      <c r="W314" t="s">
        <v>1442</v>
      </c>
      <c r="X314" t="s">
        <v>1439</v>
      </c>
      <c r="Y314" t="s">
        <v>1001</v>
      </c>
      <c r="Z314" t="s">
        <v>110</v>
      </c>
      <c r="AA314" t="str">
        <f>"11691-4423"</f>
        <v>11691-4423</v>
      </c>
      <c r="AB314" t="s">
        <v>172</v>
      </c>
      <c r="AC314" t="s">
        <v>112</v>
      </c>
      <c r="AD314" t="s">
        <v>107</v>
      </c>
      <c r="AE314" t="s">
        <v>113</v>
      </c>
      <c r="AG314" t="s">
        <v>114</v>
      </c>
    </row>
    <row r="315" spans="1:33" x14ac:dyDescent="0.25">
      <c r="A315" t="str">
        <f>"1447654322"</f>
        <v>1447654322</v>
      </c>
      <c r="B315" t="str">
        <f>"04234906"</f>
        <v>04234906</v>
      </c>
      <c r="C315" t="s">
        <v>1444</v>
      </c>
      <c r="D315" t="s">
        <v>1445</v>
      </c>
      <c r="E315" t="s">
        <v>1446</v>
      </c>
      <c r="G315" t="s">
        <v>1094</v>
      </c>
      <c r="H315" t="s">
        <v>1095</v>
      </c>
      <c r="I315">
        <v>273</v>
      </c>
      <c r="J315" t="s">
        <v>1096</v>
      </c>
      <c r="L315" t="s">
        <v>106</v>
      </c>
      <c r="M315" t="s">
        <v>107</v>
      </c>
      <c r="R315" t="s">
        <v>1447</v>
      </c>
      <c r="W315" t="s">
        <v>1446</v>
      </c>
      <c r="X315" t="s">
        <v>1439</v>
      </c>
      <c r="Y315" t="s">
        <v>1001</v>
      </c>
      <c r="Z315" t="s">
        <v>110</v>
      </c>
      <c r="AA315" t="str">
        <f>"11691-4423"</f>
        <v>11691-4423</v>
      </c>
      <c r="AB315" t="s">
        <v>172</v>
      </c>
      <c r="AC315" t="s">
        <v>112</v>
      </c>
      <c r="AD315" t="s">
        <v>107</v>
      </c>
      <c r="AE315" t="s">
        <v>113</v>
      </c>
      <c r="AG315" t="s">
        <v>114</v>
      </c>
    </row>
    <row r="316" spans="1:33" x14ac:dyDescent="0.25">
      <c r="A316" t="str">
        <f>"1407818941"</f>
        <v>1407818941</v>
      </c>
      <c r="B316" t="str">
        <f>"02687694"</f>
        <v>02687694</v>
      </c>
      <c r="C316" t="s">
        <v>1448</v>
      </c>
      <c r="D316" t="s">
        <v>1449</v>
      </c>
      <c r="E316" t="s">
        <v>1450</v>
      </c>
      <c r="G316" t="s">
        <v>1094</v>
      </c>
      <c r="H316" t="s">
        <v>1095</v>
      </c>
      <c r="I316">
        <v>273</v>
      </c>
      <c r="J316" t="s">
        <v>1096</v>
      </c>
      <c r="L316" t="s">
        <v>514</v>
      </c>
      <c r="M316" t="s">
        <v>107</v>
      </c>
      <c r="R316" t="s">
        <v>1451</v>
      </c>
      <c r="W316" t="s">
        <v>1450</v>
      </c>
      <c r="X316" t="s">
        <v>1452</v>
      </c>
      <c r="Y316" t="s">
        <v>1031</v>
      </c>
      <c r="Z316" t="s">
        <v>110</v>
      </c>
      <c r="AA316" t="str">
        <f>"11554"</f>
        <v>11554</v>
      </c>
      <c r="AB316" t="s">
        <v>172</v>
      </c>
      <c r="AC316" t="s">
        <v>112</v>
      </c>
      <c r="AD316" t="s">
        <v>107</v>
      </c>
      <c r="AE316" t="s">
        <v>113</v>
      </c>
      <c r="AG316" t="s">
        <v>114</v>
      </c>
    </row>
    <row r="317" spans="1:33" x14ac:dyDescent="0.25">
      <c r="A317" t="str">
        <f>"1518926328"</f>
        <v>1518926328</v>
      </c>
      <c r="B317" t="str">
        <f>"02438315"</f>
        <v>02438315</v>
      </c>
      <c r="C317" t="s">
        <v>1453</v>
      </c>
      <c r="D317" t="s">
        <v>1454</v>
      </c>
      <c r="E317" t="s">
        <v>1455</v>
      </c>
      <c r="G317" t="s">
        <v>1094</v>
      </c>
      <c r="H317" t="s">
        <v>1095</v>
      </c>
      <c r="I317">
        <v>273</v>
      </c>
      <c r="J317" t="s">
        <v>1096</v>
      </c>
      <c r="L317" t="s">
        <v>117</v>
      </c>
      <c r="M317" t="s">
        <v>107</v>
      </c>
      <c r="R317" t="s">
        <v>1456</v>
      </c>
      <c r="W317" t="s">
        <v>1455</v>
      </c>
      <c r="X317" t="s">
        <v>1457</v>
      </c>
      <c r="Y317" t="s">
        <v>356</v>
      </c>
      <c r="Z317" t="s">
        <v>110</v>
      </c>
      <c r="AA317" t="str">
        <f>"10701-4006"</f>
        <v>10701-4006</v>
      </c>
      <c r="AB317" t="s">
        <v>172</v>
      </c>
      <c r="AC317" t="s">
        <v>112</v>
      </c>
      <c r="AD317" t="s">
        <v>107</v>
      </c>
      <c r="AE317" t="s">
        <v>113</v>
      </c>
      <c r="AG317" t="s">
        <v>114</v>
      </c>
    </row>
    <row r="318" spans="1:33" x14ac:dyDescent="0.25">
      <c r="A318" t="str">
        <f>"1851523393"</f>
        <v>1851523393</v>
      </c>
      <c r="B318" t="str">
        <f>"03164481"</f>
        <v>03164481</v>
      </c>
      <c r="C318" t="s">
        <v>1458</v>
      </c>
      <c r="D318" t="s">
        <v>1459</v>
      </c>
      <c r="E318" t="s">
        <v>1460</v>
      </c>
      <c r="G318" t="s">
        <v>1094</v>
      </c>
      <c r="H318" t="s">
        <v>1095</v>
      </c>
      <c r="I318">
        <v>273</v>
      </c>
      <c r="J318" t="s">
        <v>1096</v>
      </c>
      <c r="L318" t="s">
        <v>106</v>
      </c>
      <c r="M318" t="s">
        <v>107</v>
      </c>
      <c r="R318" t="s">
        <v>1460</v>
      </c>
      <c r="W318" t="s">
        <v>1460</v>
      </c>
      <c r="X318" t="s">
        <v>1461</v>
      </c>
      <c r="Y318" t="s">
        <v>1462</v>
      </c>
      <c r="Z318" t="s">
        <v>110</v>
      </c>
      <c r="AA318" t="str">
        <f>"12308-2425"</f>
        <v>12308-2425</v>
      </c>
      <c r="AB318" t="s">
        <v>172</v>
      </c>
      <c r="AC318" t="s">
        <v>112</v>
      </c>
      <c r="AD318" t="s">
        <v>107</v>
      </c>
      <c r="AE318" t="s">
        <v>113</v>
      </c>
      <c r="AG318" t="s">
        <v>114</v>
      </c>
    </row>
    <row r="319" spans="1:33" x14ac:dyDescent="0.25">
      <c r="A319" t="str">
        <f>"1689628737"</f>
        <v>1689628737</v>
      </c>
      <c r="B319" t="str">
        <f>"02264377"</f>
        <v>02264377</v>
      </c>
      <c r="C319" t="s">
        <v>1463</v>
      </c>
      <c r="D319" t="s">
        <v>1464</v>
      </c>
      <c r="E319" t="s">
        <v>1465</v>
      </c>
      <c r="G319" t="s">
        <v>221</v>
      </c>
      <c r="H319" t="s">
        <v>222</v>
      </c>
      <c r="I319">
        <v>203</v>
      </c>
      <c r="J319" t="s">
        <v>223</v>
      </c>
      <c r="L319" t="s">
        <v>215</v>
      </c>
      <c r="M319" t="s">
        <v>107</v>
      </c>
      <c r="R319" t="s">
        <v>1463</v>
      </c>
      <c r="W319" t="s">
        <v>1466</v>
      </c>
      <c r="X319" t="s">
        <v>1467</v>
      </c>
      <c r="Y319" t="s">
        <v>240</v>
      </c>
      <c r="Z319" t="s">
        <v>110</v>
      </c>
      <c r="AA319" t="str">
        <f>"11230-3814"</f>
        <v>11230-3814</v>
      </c>
      <c r="AB319" t="s">
        <v>217</v>
      </c>
      <c r="AC319" t="s">
        <v>112</v>
      </c>
      <c r="AD319" t="s">
        <v>107</v>
      </c>
      <c r="AE319" t="s">
        <v>113</v>
      </c>
      <c r="AG319" t="s">
        <v>114</v>
      </c>
    </row>
    <row r="320" spans="1:33" x14ac:dyDescent="0.25">
      <c r="A320" t="str">
        <f>"1477520062"</f>
        <v>1477520062</v>
      </c>
      <c r="B320" t="str">
        <f>"00246213"</f>
        <v>00246213</v>
      </c>
      <c r="C320" t="s">
        <v>1468</v>
      </c>
      <c r="D320" t="s">
        <v>1469</v>
      </c>
      <c r="E320" t="s">
        <v>1470</v>
      </c>
      <c r="G320" t="s">
        <v>221</v>
      </c>
      <c r="H320" t="s">
        <v>222</v>
      </c>
      <c r="I320">
        <v>203</v>
      </c>
      <c r="J320" t="s">
        <v>223</v>
      </c>
      <c r="L320" t="s">
        <v>215</v>
      </c>
      <c r="M320" t="s">
        <v>107</v>
      </c>
      <c r="R320" t="s">
        <v>1468</v>
      </c>
      <c r="W320" t="s">
        <v>1471</v>
      </c>
      <c r="X320" t="s">
        <v>1472</v>
      </c>
      <c r="Y320" t="s">
        <v>240</v>
      </c>
      <c r="Z320" t="s">
        <v>110</v>
      </c>
      <c r="AA320" t="str">
        <f>"11237-5803"</f>
        <v>11237-5803</v>
      </c>
      <c r="AB320" t="s">
        <v>172</v>
      </c>
      <c r="AC320" t="s">
        <v>112</v>
      </c>
      <c r="AD320" t="s">
        <v>107</v>
      </c>
      <c r="AE320" t="s">
        <v>113</v>
      </c>
      <c r="AG320" t="s">
        <v>114</v>
      </c>
    </row>
    <row r="321" spans="1:33" x14ac:dyDescent="0.25">
      <c r="A321" t="str">
        <f>"1063507960"</f>
        <v>1063507960</v>
      </c>
      <c r="B321" t="str">
        <f>"00763786"</f>
        <v>00763786</v>
      </c>
      <c r="C321" t="s">
        <v>1473</v>
      </c>
      <c r="D321" t="s">
        <v>1474</v>
      </c>
      <c r="E321" t="s">
        <v>1475</v>
      </c>
      <c r="G321" t="s">
        <v>221</v>
      </c>
      <c r="H321" t="s">
        <v>222</v>
      </c>
      <c r="I321">
        <v>203</v>
      </c>
      <c r="J321" t="s">
        <v>223</v>
      </c>
      <c r="L321" t="s">
        <v>215</v>
      </c>
      <c r="M321" t="s">
        <v>107</v>
      </c>
      <c r="R321" t="s">
        <v>1473</v>
      </c>
      <c r="W321" t="s">
        <v>1475</v>
      </c>
      <c r="X321" t="s">
        <v>1476</v>
      </c>
      <c r="Y321" t="s">
        <v>1477</v>
      </c>
      <c r="Z321" t="s">
        <v>110</v>
      </c>
      <c r="AA321" t="str">
        <f>"11550-3702"</f>
        <v>11550-3702</v>
      </c>
      <c r="AB321" t="s">
        <v>217</v>
      </c>
      <c r="AC321" t="s">
        <v>112</v>
      </c>
      <c r="AD321" t="s">
        <v>107</v>
      </c>
      <c r="AE321" t="s">
        <v>113</v>
      </c>
      <c r="AG321" t="s">
        <v>114</v>
      </c>
    </row>
    <row r="322" spans="1:33" x14ac:dyDescent="0.25">
      <c r="A322" t="str">
        <f>"1588748396"</f>
        <v>1588748396</v>
      </c>
      <c r="B322" t="str">
        <f>"01571324"</f>
        <v>01571324</v>
      </c>
      <c r="C322" t="s">
        <v>1478</v>
      </c>
      <c r="D322" t="s">
        <v>1479</v>
      </c>
      <c r="E322" t="s">
        <v>1480</v>
      </c>
      <c r="G322" t="s">
        <v>221</v>
      </c>
      <c r="H322" t="s">
        <v>222</v>
      </c>
      <c r="I322">
        <v>203</v>
      </c>
      <c r="J322" t="s">
        <v>223</v>
      </c>
      <c r="L322" t="s">
        <v>106</v>
      </c>
      <c r="M322" t="s">
        <v>107</v>
      </c>
      <c r="R322" t="s">
        <v>1478</v>
      </c>
      <c r="W322" t="s">
        <v>1480</v>
      </c>
      <c r="X322" t="s">
        <v>1481</v>
      </c>
      <c r="Y322" t="s">
        <v>325</v>
      </c>
      <c r="Z322" t="s">
        <v>110</v>
      </c>
      <c r="AA322" t="str">
        <f>"10003-2607"</f>
        <v>10003-2607</v>
      </c>
      <c r="AB322" t="s">
        <v>172</v>
      </c>
      <c r="AC322" t="s">
        <v>112</v>
      </c>
      <c r="AD322" t="s">
        <v>107</v>
      </c>
      <c r="AE322" t="s">
        <v>113</v>
      </c>
      <c r="AG322" t="s">
        <v>114</v>
      </c>
    </row>
    <row r="323" spans="1:33" x14ac:dyDescent="0.25">
      <c r="A323" t="str">
        <f>"1881774917"</f>
        <v>1881774917</v>
      </c>
      <c r="B323" t="str">
        <f>"01134725"</f>
        <v>01134725</v>
      </c>
      <c r="C323" t="s">
        <v>1482</v>
      </c>
      <c r="D323" t="s">
        <v>1483</v>
      </c>
      <c r="E323" t="s">
        <v>1484</v>
      </c>
      <c r="G323" t="s">
        <v>221</v>
      </c>
      <c r="H323" t="s">
        <v>222</v>
      </c>
      <c r="I323">
        <v>203</v>
      </c>
      <c r="J323" t="s">
        <v>223</v>
      </c>
      <c r="L323" t="s">
        <v>166</v>
      </c>
      <c r="M323" t="s">
        <v>107</v>
      </c>
      <c r="R323" t="s">
        <v>1482</v>
      </c>
      <c r="W323" t="s">
        <v>1484</v>
      </c>
      <c r="X323" t="s">
        <v>506</v>
      </c>
      <c r="Y323" t="s">
        <v>225</v>
      </c>
      <c r="Z323" t="s">
        <v>110</v>
      </c>
      <c r="AA323" t="str">
        <f>"11355-2205"</f>
        <v>11355-2205</v>
      </c>
      <c r="AB323" t="s">
        <v>172</v>
      </c>
      <c r="AC323" t="s">
        <v>112</v>
      </c>
      <c r="AD323" t="s">
        <v>107</v>
      </c>
      <c r="AE323" t="s">
        <v>113</v>
      </c>
      <c r="AG323" t="s">
        <v>114</v>
      </c>
    </row>
    <row r="324" spans="1:33" x14ac:dyDescent="0.25">
      <c r="A324" t="str">
        <f>"1720064157"</f>
        <v>1720064157</v>
      </c>
      <c r="B324" t="str">
        <f>"01722729"</f>
        <v>01722729</v>
      </c>
      <c r="C324" t="s">
        <v>1485</v>
      </c>
      <c r="D324" t="s">
        <v>1486</v>
      </c>
      <c r="E324" t="s">
        <v>1487</v>
      </c>
      <c r="G324" t="s">
        <v>221</v>
      </c>
      <c r="H324" t="s">
        <v>222</v>
      </c>
      <c r="I324">
        <v>203</v>
      </c>
      <c r="J324" t="s">
        <v>223</v>
      </c>
      <c r="L324" t="s">
        <v>315</v>
      </c>
      <c r="M324" t="s">
        <v>167</v>
      </c>
      <c r="R324" t="s">
        <v>1485</v>
      </c>
      <c r="W324" t="s">
        <v>1487</v>
      </c>
      <c r="X324" t="s">
        <v>1488</v>
      </c>
      <c r="Y324" t="s">
        <v>207</v>
      </c>
      <c r="Z324" t="s">
        <v>110</v>
      </c>
      <c r="AA324" t="str">
        <f>"11375-5553"</f>
        <v>11375-5553</v>
      </c>
      <c r="AB324" t="s">
        <v>172</v>
      </c>
      <c r="AC324" t="s">
        <v>112</v>
      </c>
      <c r="AD324" t="s">
        <v>107</v>
      </c>
      <c r="AE324" t="s">
        <v>113</v>
      </c>
      <c r="AG324" t="s">
        <v>114</v>
      </c>
    </row>
    <row r="325" spans="1:33" x14ac:dyDescent="0.25">
      <c r="A325" t="str">
        <f>"1043231921"</f>
        <v>1043231921</v>
      </c>
      <c r="B325" t="str">
        <f>"01620020"</f>
        <v>01620020</v>
      </c>
      <c r="C325" t="s">
        <v>1489</v>
      </c>
      <c r="D325" t="s">
        <v>1490</v>
      </c>
      <c r="E325" t="s">
        <v>1491</v>
      </c>
      <c r="G325" t="s">
        <v>221</v>
      </c>
      <c r="H325" t="s">
        <v>222</v>
      </c>
      <c r="I325">
        <v>203</v>
      </c>
      <c r="J325" t="s">
        <v>223</v>
      </c>
      <c r="L325" t="s">
        <v>215</v>
      </c>
      <c r="M325" t="s">
        <v>107</v>
      </c>
      <c r="R325" t="s">
        <v>1489</v>
      </c>
      <c r="W325" t="s">
        <v>1492</v>
      </c>
      <c r="X325" t="s">
        <v>1493</v>
      </c>
      <c r="Y325" t="s">
        <v>1494</v>
      </c>
      <c r="Z325" t="s">
        <v>110</v>
      </c>
      <c r="AA325" t="str">
        <f>"10580-2171"</f>
        <v>10580-2171</v>
      </c>
      <c r="AB325" t="s">
        <v>172</v>
      </c>
      <c r="AC325" t="s">
        <v>112</v>
      </c>
      <c r="AD325" t="s">
        <v>107</v>
      </c>
      <c r="AE325" t="s">
        <v>113</v>
      </c>
      <c r="AG325" t="s">
        <v>114</v>
      </c>
    </row>
    <row r="326" spans="1:33" x14ac:dyDescent="0.25">
      <c r="A326" t="str">
        <f>"1205048725"</f>
        <v>1205048725</v>
      </c>
      <c r="B326" t="str">
        <f>"02926763"</f>
        <v>02926763</v>
      </c>
      <c r="C326" t="s">
        <v>1495</v>
      </c>
      <c r="D326" t="s">
        <v>1496</v>
      </c>
      <c r="E326" t="s">
        <v>1497</v>
      </c>
      <c r="G326" t="s">
        <v>221</v>
      </c>
      <c r="H326" t="s">
        <v>222</v>
      </c>
      <c r="I326">
        <v>203</v>
      </c>
      <c r="J326" t="s">
        <v>223</v>
      </c>
      <c r="L326" t="s">
        <v>166</v>
      </c>
      <c r="M326" t="s">
        <v>107</v>
      </c>
      <c r="R326" t="s">
        <v>1495</v>
      </c>
      <c r="W326" t="s">
        <v>1498</v>
      </c>
      <c r="X326" t="s">
        <v>1499</v>
      </c>
      <c r="Y326" t="s">
        <v>207</v>
      </c>
      <c r="Z326" t="s">
        <v>110</v>
      </c>
      <c r="AA326" t="str">
        <f>"11375-2029"</f>
        <v>11375-2029</v>
      </c>
      <c r="AB326" t="s">
        <v>172</v>
      </c>
      <c r="AC326" t="s">
        <v>112</v>
      </c>
      <c r="AD326" t="s">
        <v>107</v>
      </c>
      <c r="AE326" t="s">
        <v>113</v>
      </c>
      <c r="AG326" t="s">
        <v>114</v>
      </c>
    </row>
    <row r="327" spans="1:33" x14ac:dyDescent="0.25">
      <c r="A327" t="str">
        <f>"1497913149"</f>
        <v>1497913149</v>
      </c>
      <c r="B327" t="str">
        <f>"03609010"</f>
        <v>03609010</v>
      </c>
      <c r="C327" t="s">
        <v>1500</v>
      </c>
      <c r="D327" t="s">
        <v>1501</v>
      </c>
      <c r="E327" t="s">
        <v>1502</v>
      </c>
      <c r="G327" t="s">
        <v>221</v>
      </c>
      <c r="H327" t="s">
        <v>222</v>
      </c>
      <c r="I327">
        <v>203</v>
      </c>
      <c r="J327" t="s">
        <v>223</v>
      </c>
      <c r="L327" t="s">
        <v>215</v>
      </c>
      <c r="M327" t="s">
        <v>167</v>
      </c>
      <c r="R327" t="s">
        <v>1500</v>
      </c>
      <c r="W327" t="s">
        <v>1502</v>
      </c>
      <c r="X327" t="s">
        <v>1503</v>
      </c>
      <c r="Y327" t="s">
        <v>325</v>
      </c>
      <c r="Z327" t="s">
        <v>110</v>
      </c>
      <c r="AA327" t="str">
        <f>"10029-6501"</f>
        <v>10029-6501</v>
      </c>
      <c r="AB327" t="s">
        <v>172</v>
      </c>
      <c r="AC327" t="s">
        <v>112</v>
      </c>
      <c r="AD327" t="s">
        <v>107</v>
      </c>
      <c r="AE327" t="s">
        <v>113</v>
      </c>
      <c r="AG327" t="s">
        <v>114</v>
      </c>
    </row>
    <row r="328" spans="1:33" x14ac:dyDescent="0.25">
      <c r="A328" t="str">
        <f>"1962633727"</f>
        <v>1962633727</v>
      </c>
      <c r="B328" t="str">
        <f>"03130581"</f>
        <v>03130581</v>
      </c>
      <c r="C328" t="s">
        <v>1504</v>
      </c>
      <c r="D328" t="s">
        <v>1505</v>
      </c>
      <c r="E328" t="s">
        <v>1506</v>
      </c>
      <c r="G328" t="s">
        <v>221</v>
      </c>
      <c r="H328" t="s">
        <v>222</v>
      </c>
      <c r="I328">
        <v>203</v>
      </c>
      <c r="J328" t="s">
        <v>223</v>
      </c>
      <c r="L328" t="s">
        <v>117</v>
      </c>
      <c r="M328" t="s">
        <v>107</v>
      </c>
      <c r="R328" t="s">
        <v>1504</v>
      </c>
      <c r="W328" t="s">
        <v>1507</v>
      </c>
      <c r="X328" t="s">
        <v>1508</v>
      </c>
      <c r="Y328" t="s">
        <v>1509</v>
      </c>
      <c r="Z328" t="s">
        <v>110</v>
      </c>
      <c r="AA328" t="str">
        <f>"11514-1823"</f>
        <v>11514-1823</v>
      </c>
      <c r="AB328" t="s">
        <v>606</v>
      </c>
      <c r="AC328" t="s">
        <v>112</v>
      </c>
      <c r="AD328" t="s">
        <v>107</v>
      </c>
      <c r="AE328" t="s">
        <v>113</v>
      </c>
      <c r="AG328" t="s">
        <v>114</v>
      </c>
    </row>
    <row r="329" spans="1:33" x14ac:dyDescent="0.25">
      <c r="A329" t="str">
        <f>"1598035081"</f>
        <v>1598035081</v>
      </c>
      <c r="B329" t="str">
        <f>"03981573"</f>
        <v>03981573</v>
      </c>
      <c r="C329" t="s">
        <v>1510</v>
      </c>
      <c r="D329" t="s">
        <v>1511</v>
      </c>
      <c r="E329" t="s">
        <v>1510</v>
      </c>
      <c r="G329" t="s">
        <v>221</v>
      </c>
      <c r="H329" t="s">
        <v>222</v>
      </c>
      <c r="I329">
        <v>203</v>
      </c>
      <c r="J329" t="s">
        <v>223</v>
      </c>
      <c r="L329" t="s">
        <v>215</v>
      </c>
      <c r="M329" t="s">
        <v>107</v>
      </c>
      <c r="R329" t="s">
        <v>1510</v>
      </c>
      <c r="W329" t="s">
        <v>1510</v>
      </c>
      <c r="X329" t="s">
        <v>1512</v>
      </c>
      <c r="Y329" t="s">
        <v>325</v>
      </c>
      <c r="Z329" t="s">
        <v>110</v>
      </c>
      <c r="AA329" t="str">
        <f>"10013-4557"</f>
        <v>10013-4557</v>
      </c>
      <c r="AB329" t="s">
        <v>172</v>
      </c>
      <c r="AC329" t="s">
        <v>112</v>
      </c>
      <c r="AD329" t="s">
        <v>107</v>
      </c>
      <c r="AE329" t="s">
        <v>113</v>
      </c>
      <c r="AG329" t="s">
        <v>114</v>
      </c>
    </row>
    <row r="330" spans="1:33" x14ac:dyDescent="0.25">
      <c r="A330" t="str">
        <f>"1699010736"</f>
        <v>1699010736</v>
      </c>
      <c r="C330" t="s">
        <v>1513</v>
      </c>
      <c r="G330" t="s">
        <v>221</v>
      </c>
      <c r="H330" t="s">
        <v>222</v>
      </c>
      <c r="I330">
        <v>203</v>
      </c>
      <c r="J330" t="s">
        <v>223</v>
      </c>
      <c r="K330" t="s">
        <v>749</v>
      </c>
      <c r="L330" t="s">
        <v>373</v>
      </c>
      <c r="M330" t="s">
        <v>107</v>
      </c>
      <c r="R330" t="s">
        <v>1513</v>
      </c>
      <c r="S330" t="s">
        <v>1514</v>
      </c>
      <c r="T330" t="s">
        <v>1159</v>
      </c>
      <c r="U330" t="s">
        <v>110</v>
      </c>
      <c r="V330" t="str">
        <f>"113777536"</f>
        <v>113777536</v>
      </c>
      <c r="AC330" t="s">
        <v>112</v>
      </c>
      <c r="AD330" t="s">
        <v>107</v>
      </c>
      <c r="AE330" t="s">
        <v>278</v>
      </c>
      <c r="AG330" t="s">
        <v>114</v>
      </c>
    </row>
    <row r="331" spans="1:33" x14ac:dyDescent="0.25">
      <c r="A331" t="str">
        <f>"1306997291"</f>
        <v>1306997291</v>
      </c>
      <c r="B331" t="str">
        <f>"03934296"</f>
        <v>03934296</v>
      </c>
      <c r="C331" t="s">
        <v>1515</v>
      </c>
      <c r="D331" t="s">
        <v>1516</v>
      </c>
      <c r="E331" t="s">
        <v>1515</v>
      </c>
      <c r="G331" t="s">
        <v>221</v>
      </c>
      <c r="H331" t="s">
        <v>222</v>
      </c>
      <c r="I331">
        <v>203</v>
      </c>
      <c r="J331" t="s">
        <v>223</v>
      </c>
      <c r="L331" t="s">
        <v>106</v>
      </c>
      <c r="M331" t="s">
        <v>107</v>
      </c>
      <c r="R331" t="s">
        <v>1515</v>
      </c>
      <c r="W331" t="s">
        <v>1515</v>
      </c>
      <c r="X331" t="s">
        <v>1517</v>
      </c>
      <c r="Y331" t="s">
        <v>325</v>
      </c>
      <c r="Z331" t="s">
        <v>110</v>
      </c>
      <c r="AA331" t="str">
        <f>"10119-0206"</f>
        <v>10119-0206</v>
      </c>
      <c r="AB331" t="s">
        <v>172</v>
      </c>
      <c r="AC331" t="s">
        <v>112</v>
      </c>
      <c r="AD331" t="s">
        <v>107</v>
      </c>
      <c r="AE331" t="s">
        <v>113</v>
      </c>
      <c r="AG331" t="s">
        <v>114</v>
      </c>
    </row>
    <row r="332" spans="1:33" x14ac:dyDescent="0.25">
      <c r="A332" t="str">
        <f>"1316076763"</f>
        <v>1316076763</v>
      </c>
      <c r="C332" t="s">
        <v>1518</v>
      </c>
      <c r="G332" t="s">
        <v>221</v>
      </c>
      <c r="H332" t="s">
        <v>222</v>
      </c>
      <c r="I332">
        <v>203</v>
      </c>
      <c r="J332" t="s">
        <v>223</v>
      </c>
      <c r="K332" t="s">
        <v>749</v>
      </c>
      <c r="L332" t="s">
        <v>373</v>
      </c>
      <c r="M332" t="s">
        <v>107</v>
      </c>
      <c r="R332" t="s">
        <v>1518</v>
      </c>
      <c r="S332" t="s">
        <v>1519</v>
      </c>
      <c r="T332" t="s">
        <v>422</v>
      </c>
      <c r="U332" t="s">
        <v>110</v>
      </c>
      <c r="V332" t="str">
        <f>"114334125"</f>
        <v>114334125</v>
      </c>
      <c r="AC332" t="s">
        <v>112</v>
      </c>
      <c r="AD332" t="s">
        <v>107</v>
      </c>
      <c r="AE332" t="s">
        <v>278</v>
      </c>
      <c r="AG332" t="s">
        <v>114</v>
      </c>
    </row>
    <row r="333" spans="1:33" x14ac:dyDescent="0.25">
      <c r="A333" t="str">
        <f>"1053489054"</f>
        <v>1053489054</v>
      </c>
      <c r="B333" t="str">
        <f>"04179053"</f>
        <v>04179053</v>
      </c>
      <c r="C333" t="s">
        <v>1520</v>
      </c>
      <c r="D333" t="s">
        <v>1521</v>
      </c>
      <c r="E333" t="s">
        <v>1522</v>
      </c>
      <c r="G333" t="s">
        <v>221</v>
      </c>
      <c r="H333" t="s">
        <v>222</v>
      </c>
      <c r="I333">
        <v>203</v>
      </c>
      <c r="J333" t="s">
        <v>223</v>
      </c>
      <c r="L333" t="s">
        <v>373</v>
      </c>
      <c r="M333" t="s">
        <v>107</v>
      </c>
      <c r="R333" t="s">
        <v>1520</v>
      </c>
      <c r="W333" t="s">
        <v>1522</v>
      </c>
      <c r="X333" t="s">
        <v>1523</v>
      </c>
      <c r="Y333" t="s">
        <v>325</v>
      </c>
      <c r="Z333" t="s">
        <v>110</v>
      </c>
      <c r="AA333" t="str">
        <f>"10119-0206"</f>
        <v>10119-0206</v>
      </c>
      <c r="AB333" t="s">
        <v>172</v>
      </c>
      <c r="AC333" t="s">
        <v>112</v>
      </c>
      <c r="AD333" t="s">
        <v>107</v>
      </c>
      <c r="AE333" t="s">
        <v>113</v>
      </c>
      <c r="AG333" t="s">
        <v>114</v>
      </c>
    </row>
    <row r="334" spans="1:33" x14ac:dyDescent="0.25">
      <c r="A334" t="str">
        <f>"1720182959"</f>
        <v>1720182959</v>
      </c>
      <c r="B334" t="str">
        <f>"00225049"</f>
        <v>00225049</v>
      </c>
      <c r="C334" t="s">
        <v>1524</v>
      </c>
      <c r="D334" t="s">
        <v>1525</v>
      </c>
      <c r="E334" t="s">
        <v>1526</v>
      </c>
      <c r="G334" t="s">
        <v>1527</v>
      </c>
      <c r="H334" t="s">
        <v>1528</v>
      </c>
      <c r="I334">
        <v>117</v>
      </c>
      <c r="J334" t="s">
        <v>1529</v>
      </c>
      <c r="L334" t="s">
        <v>106</v>
      </c>
      <c r="M334" t="s">
        <v>107</v>
      </c>
      <c r="R334" t="s">
        <v>1524</v>
      </c>
      <c r="W334" t="s">
        <v>1526</v>
      </c>
      <c r="X334" t="s">
        <v>1530</v>
      </c>
      <c r="Y334" t="s">
        <v>1006</v>
      </c>
      <c r="Z334" t="s">
        <v>110</v>
      </c>
      <c r="AA334" t="str">
        <f>"10306-3450"</f>
        <v>10306-3450</v>
      </c>
      <c r="AB334" t="s">
        <v>172</v>
      </c>
      <c r="AC334" t="s">
        <v>112</v>
      </c>
      <c r="AD334" t="s">
        <v>107</v>
      </c>
      <c r="AE334" t="s">
        <v>113</v>
      </c>
      <c r="AG334" t="s">
        <v>114</v>
      </c>
    </row>
    <row r="335" spans="1:33" x14ac:dyDescent="0.25">
      <c r="A335" t="str">
        <f>"1235118530"</f>
        <v>1235118530</v>
      </c>
      <c r="B335" t="str">
        <f>"01080964"</f>
        <v>01080964</v>
      </c>
      <c r="C335" t="s">
        <v>1531</v>
      </c>
      <c r="D335" t="s">
        <v>1532</v>
      </c>
      <c r="E335" t="s">
        <v>1533</v>
      </c>
      <c r="G335" t="s">
        <v>1527</v>
      </c>
      <c r="H335" t="s">
        <v>1528</v>
      </c>
      <c r="I335">
        <v>117</v>
      </c>
      <c r="J335" t="s">
        <v>1529</v>
      </c>
      <c r="L335" t="s">
        <v>166</v>
      </c>
      <c r="M335" t="s">
        <v>107</v>
      </c>
      <c r="R335" t="s">
        <v>1531</v>
      </c>
      <c r="W335" t="s">
        <v>1533</v>
      </c>
      <c r="X335" t="s">
        <v>1534</v>
      </c>
      <c r="Y335" t="s">
        <v>240</v>
      </c>
      <c r="Z335" t="s">
        <v>110</v>
      </c>
      <c r="AA335" t="str">
        <f>"11220-2559"</f>
        <v>11220-2559</v>
      </c>
      <c r="AB335" t="s">
        <v>172</v>
      </c>
      <c r="AC335" t="s">
        <v>112</v>
      </c>
      <c r="AD335" t="s">
        <v>107</v>
      </c>
      <c r="AE335" t="s">
        <v>113</v>
      </c>
      <c r="AG335" t="s">
        <v>114</v>
      </c>
    </row>
    <row r="336" spans="1:33" x14ac:dyDescent="0.25">
      <c r="A336" t="str">
        <f>"1114093523"</f>
        <v>1114093523</v>
      </c>
      <c r="B336" t="str">
        <f>"02737286"</f>
        <v>02737286</v>
      </c>
      <c r="C336" t="s">
        <v>1535</v>
      </c>
      <c r="D336" t="s">
        <v>1536</v>
      </c>
      <c r="E336" t="s">
        <v>1535</v>
      </c>
      <c r="G336" t="s">
        <v>1527</v>
      </c>
      <c r="H336" t="s">
        <v>1528</v>
      </c>
      <c r="I336">
        <v>117</v>
      </c>
      <c r="J336" t="s">
        <v>1529</v>
      </c>
      <c r="L336" t="s">
        <v>14</v>
      </c>
      <c r="M336" t="s">
        <v>167</v>
      </c>
      <c r="R336" t="s">
        <v>1537</v>
      </c>
      <c r="W336" t="s">
        <v>1535</v>
      </c>
      <c r="X336" t="s">
        <v>1538</v>
      </c>
      <c r="Y336" t="s">
        <v>240</v>
      </c>
      <c r="Z336" t="s">
        <v>110</v>
      </c>
      <c r="AA336" t="str">
        <f>"11232-1108"</f>
        <v>11232-1108</v>
      </c>
      <c r="AB336" t="s">
        <v>191</v>
      </c>
      <c r="AC336" t="s">
        <v>112</v>
      </c>
      <c r="AD336" t="s">
        <v>107</v>
      </c>
      <c r="AE336" t="s">
        <v>113</v>
      </c>
      <c r="AG336" t="s">
        <v>114</v>
      </c>
    </row>
    <row r="337" spans="1:33" x14ac:dyDescent="0.25">
      <c r="A337" t="str">
        <f>"1629125802"</f>
        <v>1629125802</v>
      </c>
      <c r="B337" t="str">
        <f>"03539728"</f>
        <v>03539728</v>
      </c>
      <c r="C337" t="s">
        <v>1539</v>
      </c>
      <c r="D337" t="s">
        <v>1540</v>
      </c>
      <c r="E337" t="s">
        <v>1539</v>
      </c>
      <c r="G337" t="s">
        <v>289</v>
      </c>
      <c r="H337" t="s">
        <v>290</v>
      </c>
      <c r="J337" t="s">
        <v>291</v>
      </c>
      <c r="L337" t="s">
        <v>106</v>
      </c>
      <c r="M337" t="s">
        <v>107</v>
      </c>
      <c r="R337" t="s">
        <v>1539</v>
      </c>
      <c r="W337" t="s">
        <v>1539</v>
      </c>
      <c r="X337" t="s">
        <v>1541</v>
      </c>
      <c r="Y337" t="s">
        <v>422</v>
      </c>
      <c r="Z337" t="s">
        <v>110</v>
      </c>
      <c r="AA337" t="str">
        <f>"11435-3647"</f>
        <v>11435-3647</v>
      </c>
      <c r="AB337" t="s">
        <v>111</v>
      </c>
      <c r="AC337" t="s">
        <v>112</v>
      </c>
      <c r="AD337" t="s">
        <v>107</v>
      </c>
      <c r="AE337" t="s">
        <v>113</v>
      </c>
      <c r="AG337" t="s">
        <v>114</v>
      </c>
    </row>
    <row r="338" spans="1:33" x14ac:dyDescent="0.25">
      <c r="A338" t="str">
        <f>"1003007766"</f>
        <v>1003007766</v>
      </c>
      <c r="B338" t="str">
        <f>"00245538"</f>
        <v>00245538</v>
      </c>
      <c r="C338" t="s">
        <v>1542</v>
      </c>
      <c r="D338" t="s">
        <v>1543</v>
      </c>
      <c r="E338" t="s">
        <v>1542</v>
      </c>
      <c r="G338" t="s">
        <v>1544</v>
      </c>
      <c r="H338" t="s">
        <v>1545</v>
      </c>
      <c r="J338" t="s">
        <v>1546</v>
      </c>
      <c r="L338" t="s">
        <v>1547</v>
      </c>
      <c r="M338" t="s">
        <v>167</v>
      </c>
      <c r="R338" t="s">
        <v>1548</v>
      </c>
      <c r="W338" t="s">
        <v>1542</v>
      </c>
      <c r="X338" t="s">
        <v>1549</v>
      </c>
      <c r="Y338" t="s">
        <v>240</v>
      </c>
      <c r="Z338" t="s">
        <v>110</v>
      </c>
      <c r="AA338" t="str">
        <f>"11216-2636"</f>
        <v>11216-2636</v>
      </c>
      <c r="AB338" t="s">
        <v>184</v>
      </c>
      <c r="AC338" t="s">
        <v>112</v>
      </c>
      <c r="AD338" t="s">
        <v>107</v>
      </c>
      <c r="AE338" t="s">
        <v>113</v>
      </c>
      <c r="AG338" t="s">
        <v>114</v>
      </c>
    </row>
    <row r="339" spans="1:33" x14ac:dyDescent="0.25">
      <c r="A339" t="str">
        <f>"1801822820"</f>
        <v>1801822820</v>
      </c>
      <c r="B339" t="str">
        <f>"01959044"</f>
        <v>01959044</v>
      </c>
      <c r="C339" t="s">
        <v>1550</v>
      </c>
      <c r="D339" t="s">
        <v>1551</v>
      </c>
      <c r="E339" t="s">
        <v>1552</v>
      </c>
      <c r="G339" t="s">
        <v>1248</v>
      </c>
      <c r="H339" t="s">
        <v>1249</v>
      </c>
      <c r="I339">
        <v>216</v>
      </c>
      <c r="J339" t="s">
        <v>1250</v>
      </c>
      <c r="L339" t="s">
        <v>215</v>
      </c>
      <c r="M339" t="s">
        <v>167</v>
      </c>
      <c r="R339" t="s">
        <v>1550</v>
      </c>
      <c r="W339" t="s">
        <v>1552</v>
      </c>
      <c r="X339" t="s">
        <v>1553</v>
      </c>
      <c r="Y339" t="s">
        <v>207</v>
      </c>
      <c r="Z339" t="s">
        <v>110</v>
      </c>
      <c r="AA339" t="str">
        <f>"11375-4699"</f>
        <v>11375-4699</v>
      </c>
      <c r="AB339" t="s">
        <v>172</v>
      </c>
      <c r="AC339" t="s">
        <v>112</v>
      </c>
      <c r="AD339" t="s">
        <v>107</v>
      </c>
      <c r="AE339" t="s">
        <v>113</v>
      </c>
      <c r="AG339" t="s">
        <v>114</v>
      </c>
    </row>
    <row r="340" spans="1:33" x14ac:dyDescent="0.25">
      <c r="A340" t="str">
        <f>"1740281450"</f>
        <v>1740281450</v>
      </c>
      <c r="B340" t="str">
        <f>"00840157"</f>
        <v>00840157</v>
      </c>
      <c r="C340" t="s">
        <v>1554</v>
      </c>
      <c r="D340" t="s">
        <v>1555</v>
      </c>
      <c r="E340" t="s">
        <v>1556</v>
      </c>
      <c r="G340" t="s">
        <v>1248</v>
      </c>
      <c r="H340" t="s">
        <v>1249</v>
      </c>
      <c r="I340">
        <v>216</v>
      </c>
      <c r="J340" t="s">
        <v>1250</v>
      </c>
      <c r="L340" t="s">
        <v>215</v>
      </c>
      <c r="M340" t="s">
        <v>107</v>
      </c>
      <c r="R340" t="s">
        <v>1554</v>
      </c>
      <c r="W340" t="s">
        <v>1556</v>
      </c>
      <c r="X340" t="s">
        <v>1557</v>
      </c>
      <c r="Y340" t="s">
        <v>207</v>
      </c>
      <c r="Z340" t="s">
        <v>110</v>
      </c>
      <c r="AA340" t="str">
        <f>"11375-7417"</f>
        <v>11375-7417</v>
      </c>
      <c r="AB340" t="s">
        <v>172</v>
      </c>
      <c r="AC340" t="s">
        <v>112</v>
      </c>
      <c r="AD340" t="s">
        <v>107</v>
      </c>
      <c r="AE340" t="s">
        <v>113</v>
      </c>
      <c r="AG340" t="s">
        <v>114</v>
      </c>
    </row>
    <row r="341" spans="1:33" x14ac:dyDescent="0.25">
      <c r="A341" t="str">
        <f>"1609923739"</f>
        <v>1609923739</v>
      </c>
      <c r="B341" t="str">
        <f>"03190383"</f>
        <v>03190383</v>
      </c>
      <c r="C341" t="s">
        <v>1558</v>
      </c>
      <c r="D341" t="s">
        <v>1559</v>
      </c>
      <c r="E341" t="s">
        <v>1560</v>
      </c>
      <c r="G341" t="s">
        <v>1248</v>
      </c>
      <c r="H341" t="s">
        <v>1249</v>
      </c>
      <c r="I341">
        <v>216</v>
      </c>
      <c r="J341" t="s">
        <v>1250</v>
      </c>
      <c r="L341" t="s">
        <v>215</v>
      </c>
      <c r="M341" t="s">
        <v>107</v>
      </c>
      <c r="R341" t="s">
        <v>1558</v>
      </c>
      <c r="W341" t="s">
        <v>1560</v>
      </c>
      <c r="X341" t="s">
        <v>1561</v>
      </c>
      <c r="Y341" t="s">
        <v>422</v>
      </c>
      <c r="Z341" t="s">
        <v>110</v>
      </c>
      <c r="AA341" t="str">
        <f>"11418-2832"</f>
        <v>11418-2832</v>
      </c>
      <c r="AB341" t="s">
        <v>172</v>
      </c>
      <c r="AC341" t="s">
        <v>112</v>
      </c>
      <c r="AD341" t="s">
        <v>107</v>
      </c>
      <c r="AE341" t="s">
        <v>113</v>
      </c>
      <c r="AG341" t="s">
        <v>114</v>
      </c>
    </row>
    <row r="342" spans="1:33" x14ac:dyDescent="0.25">
      <c r="A342" t="str">
        <f>"1275602963"</f>
        <v>1275602963</v>
      </c>
      <c r="B342" t="str">
        <f>"01775084"</f>
        <v>01775084</v>
      </c>
      <c r="C342" t="s">
        <v>1562</v>
      </c>
      <c r="D342" t="s">
        <v>1563</v>
      </c>
      <c r="E342" t="s">
        <v>1564</v>
      </c>
      <c r="G342" t="s">
        <v>402</v>
      </c>
      <c r="H342" t="s">
        <v>403</v>
      </c>
      <c r="J342" t="s">
        <v>404</v>
      </c>
      <c r="L342" t="s">
        <v>166</v>
      </c>
      <c r="M342" t="s">
        <v>107</v>
      </c>
      <c r="R342" t="s">
        <v>1562</v>
      </c>
      <c r="W342" t="s">
        <v>1564</v>
      </c>
      <c r="X342" t="s">
        <v>1565</v>
      </c>
      <c r="Y342" t="s">
        <v>225</v>
      </c>
      <c r="Z342" t="s">
        <v>110</v>
      </c>
      <c r="AA342" t="str">
        <f>"11366-1919"</f>
        <v>11366-1919</v>
      </c>
      <c r="AB342" t="s">
        <v>172</v>
      </c>
      <c r="AC342" t="s">
        <v>112</v>
      </c>
      <c r="AD342" t="s">
        <v>107</v>
      </c>
      <c r="AE342" t="s">
        <v>113</v>
      </c>
      <c r="AG342" t="s">
        <v>114</v>
      </c>
    </row>
    <row r="343" spans="1:33" x14ac:dyDescent="0.25">
      <c r="A343" t="str">
        <f>"1275873804"</f>
        <v>1275873804</v>
      </c>
      <c r="B343" t="str">
        <f>"03551700"</f>
        <v>03551700</v>
      </c>
      <c r="C343" t="s">
        <v>1566</v>
      </c>
      <c r="D343" t="s">
        <v>1567</v>
      </c>
      <c r="E343" t="s">
        <v>1568</v>
      </c>
      <c r="G343" t="s">
        <v>212</v>
      </c>
      <c r="H343" t="s">
        <v>213</v>
      </c>
      <c r="J343" t="s">
        <v>214</v>
      </c>
      <c r="L343" t="s">
        <v>166</v>
      </c>
      <c r="M343" t="s">
        <v>167</v>
      </c>
      <c r="R343" t="s">
        <v>1566</v>
      </c>
      <c r="W343" t="s">
        <v>1568</v>
      </c>
      <c r="X343" t="s">
        <v>1569</v>
      </c>
      <c r="Y343" t="s">
        <v>1253</v>
      </c>
      <c r="Z343" t="s">
        <v>110</v>
      </c>
      <c r="AA343" t="str">
        <f>"11106-4705"</f>
        <v>11106-4705</v>
      </c>
      <c r="AB343" t="s">
        <v>172</v>
      </c>
      <c r="AC343" t="s">
        <v>112</v>
      </c>
      <c r="AD343" t="s">
        <v>107</v>
      </c>
      <c r="AE343" t="s">
        <v>113</v>
      </c>
      <c r="AG343" t="s">
        <v>114</v>
      </c>
    </row>
    <row r="344" spans="1:33" x14ac:dyDescent="0.25">
      <c r="A344" t="str">
        <f>"1083700611"</f>
        <v>1083700611</v>
      </c>
      <c r="B344" t="str">
        <f>"01780010"</f>
        <v>01780010</v>
      </c>
      <c r="C344" t="s">
        <v>1570</v>
      </c>
      <c r="D344" t="s">
        <v>1571</v>
      </c>
      <c r="E344" t="s">
        <v>1572</v>
      </c>
      <c r="G344" t="s">
        <v>212</v>
      </c>
      <c r="H344" t="s">
        <v>213</v>
      </c>
      <c r="J344" t="s">
        <v>214</v>
      </c>
      <c r="L344" t="s">
        <v>215</v>
      </c>
      <c r="M344" t="s">
        <v>167</v>
      </c>
      <c r="R344" t="s">
        <v>1570</v>
      </c>
      <c r="W344" t="s">
        <v>1572</v>
      </c>
      <c r="X344" t="s">
        <v>1573</v>
      </c>
      <c r="Y344" t="s">
        <v>325</v>
      </c>
      <c r="Z344" t="s">
        <v>110</v>
      </c>
      <c r="AA344" t="str">
        <f>"10010-1600"</f>
        <v>10010-1600</v>
      </c>
      <c r="AB344" t="s">
        <v>1044</v>
      </c>
      <c r="AC344" t="s">
        <v>112</v>
      </c>
      <c r="AD344" t="s">
        <v>107</v>
      </c>
      <c r="AE344" t="s">
        <v>113</v>
      </c>
      <c r="AG344" t="s">
        <v>114</v>
      </c>
    </row>
    <row r="345" spans="1:33" x14ac:dyDescent="0.25">
      <c r="A345" t="str">
        <f>"1184729113"</f>
        <v>1184729113</v>
      </c>
      <c r="B345" t="str">
        <f>"02088080"</f>
        <v>02088080</v>
      </c>
      <c r="C345" t="s">
        <v>1574</v>
      </c>
      <c r="D345" t="s">
        <v>1575</v>
      </c>
      <c r="E345" t="s">
        <v>1576</v>
      </c>
      <c r="G345" t="s">
        <v>378</v>
      </c>
      <c r="H345" t="s">
        <v>379</v>
      </c>
      <c r="I345">
        <v>203</v>
      </c>
      <c r="J345" t="s">
        <v>380</v>
      </c>
      <c r="L345" t="s">
        <v>166</v>
      </c>
      <c r="M345" t="s">
        <v>107</v>
      </c>
      <c r="R345" t="s">
        <v>1574</v>
      </c>
      <c r="W345" t="s">
        <v>1574</v>
      </c>
      <c r="X345" t="s">
        <v>1577</v>
      </c>
      <c r="Y345" t="s">
        <v>225</v>
      </c>
      <c r="Z345" t="s">
        <v>110</v>
      </c>
      <c r="AA345" t="str">
        <f>"11355"</f>
        <v>11355</v>
      </c>
      <c r="AB345" t="s">
        <v>172</v>
      </c>
      <c r="AC345" t="s">
        <v>112</v>
      </c>
      <c r="AD345" t="s">
        <v>107</v>
      </c>
      <c r="AE345" t="s">
        <v>113</v>
      </c>
      <c r="AG345" t="s">
        <v>114</v>
      </c>
    </row>
    <row r="346" spans="1:33" x14ac:dyDescent="0.25">
      <c r="A346" t="str">
        <f>"1205035383"</f>
        <v>1205035383</v>
      </c>
      <c r="B346" t="str">
        <f>"03026813"</f>
        <v>03026813</v>
      </c>
      <c r="C346" t="s">
        <v>1578</v>
      </c>
      <c r="D346" t="s">
        <v>1579</v>
      </c>
      <c r="E346" t="s">
        <v>1580</v>
      </c>
      <c r="G346" t="s">
        <v>203</v>
      </c>
      <c r="H346" t="s">
        <v>204</v>
      </c>
      <c r="J346" t="s">
        <v>205</v>
      </c>
      <c r="L346" t="s">
        <v>117</v>
      </c>
      <c r="M346" t="s">
        <v>107</v>
      </c>
      <c r="R346" t="s">
        <v>1578</v>
      </c>
      <c r="W346" t="s">
        <v>1580</v>
      </c>
      <c r="X346" t="s">
        <v>1581</v>
      </c>
      <c r="Y346" t="s">
        <v>1582</v>
      </c>
      <c r="Z346" t="s">
        <v>110</v>
      </c>
      <c r="AA346" t="str">
        <f>"11801-3508"</f>
        <v>11801-3508</v>
      </c>
      <c r="AB346" t="s">
        <v>172</v>
      </c>
      <c r="AC346" t="s">
        <v>112</v>
      </c>
      <c r="AD346" t="s">
        <v>107</v>
      </c>
      <c r="AE346" t="s">
        <v>113</v>
      </c>
      <c r="AG346" t="s">
        <v>114</v>
      </c>
    </row>
    <row r="347" spans="1:33" x14ac:dyDescent="0.25">
      <c r="A347" t="str">
        <f>"1629315197"</f>
        <v>1629315197</v>
      </c>
      <c r="C347" t="s">
        <v>1583</v>
      </c>
      <c r="G347" t="s">
        <v>273</v>
      </c>
      <c r="H347" t="s">
        <v>274</v>
      </c>
      <c r="J347" t="s">
        <v>275</v>
      </c>
      <c r="K347" t="s">
        <v>276</v>
      </c>
      <c r="L347" t="s">
        <v>106</v>
      </c>
      <c r="M347" t="s">
        <v>107</v>
      </c>
      <c r="R347" t="s">
        <v>1583</v>
      </c>
      <c r="S347" t="s">
        <v>1584</v>
      </c>
      <c r="T347" t="s">
        <v>1159</v>
      </c>
      <c r="U347" t="s">
        <v>110</v>
      </c>
      <c r="V347" t="str">
        <f>"11377"</f>
        <v>11377</v>
      </c>
      <c r="AC347" t="s">
        <v>112</v>
      </c>
      <c r="AD347" t="s">
        <v>107</v>
      </c>
      <c r="AE347" t="s">
        <v>278</v>
      </c>
      <c r="AG347" t="s">
        <v>114</v>
      </c>
    </row>
    <row r="348" spans="1:33" x14ac:dyDescent="0.25">
      <c r="A348" t="str">
        <f>"1376964965"</f>
        <v>1376964965</v>
      </c>
      <c r="C348" t="s">
        <v>1585</v>
      </c>
      <c r="G348" t="s">
        <v>273</v>
      </c>
      <c r="H348" t="s">
        <v>274</v>
      </c>
      <c r="J348" t="s">
        <v>275</v>
      </c>
      <c r="K348" t="s">
        <v>276</v>
      </c>
      <c r="L348" t="s">
        <v>106</v>
      </c>
      <c r="M348" t="s">
        <v>107</v>
      </c>
      <c r="R348" t="s">
        <v>1585</v>
      </c>
      <c r="S348" t="s">
        <v>1586</v>
      </c>
      <c r="T348" t="s">
        <v>200</v>
      </c>
      <c r="U348" t="s">
        <v>110</v>
      </c>
      <c r="V348" t="str">
        <f>"113726300"</f>
        <v>113726300</v>
      </c>
      <c r="AC348" t="s">
        <v>112</v>
      </c>
      <c r="AD348" t="s">
        <v>107</v>
      </c>
      <c r="AE348" t="s">
        <v>278</v>
      </c>
      <c r="AG348" t="s">
        <v>114</v>
      </c>
    </row>
    <row r="349" spans="1:33" x14ac:dyDescent="0.25">
      <c r="A349" t="str">
        <f>"1144483157"</f>
        <v>1144483157</v>
      </c>
      <c r="C349" t="s">
        <v>1587</v>
      </c>
      <c r="G349" t="s">
        <v>273</v>
      </c>
      <c r="H349" t="s">
        <v>274</v>
      </c>
      <c r="J349" t="s">
        <v>275</v>
      </c>
      <c r="K349" t="s">
        <v>276</v>
      </c>
      <c r="L349" t="s">
        <v>373</v>
      </c>
      <c r="M349" t="s">
        <v>107</v>
      </c>
      <c r="R349" t="s">
        <v>1587</v>
      </c>
      <c r="S349" t="s">
        <v>1588</v>
      </c>
      <c r="T349" t="s">
        <v>207</v>
      </c>
      <c r="U349" t="s">
        <v>110</v>
      </c>
      <c r="V349" t="str">
        <f>"113754960"</f>
        <v>113754960</v>
      </c>
      <c r="AC349" t="s">
        <v>112</v>
      </c>
      <c r="AD349" t="s">
        <v>107</v>
      </c>
      <c r="AE349" t="s">
        <v>278</v>
      </c>
      <c r="AG349" t="s">
        <v>114</v>
      </c>
    </row>
    <row r="350" spans="1:33" x14ac:dyDescent="0.25">
      <c r="A350" t="str">
        <f>"1124041538"</f>
        <v>1124041538</v>
      </c>
      <c r="B350" t="str">
        <f>"03127502"</f>
        <v>03127502</v>
      </c>
      <c r="C350" t="s">
        <v>1589</v>
      </c>
      <c r="D350" t="s">
        <v>1590</v>
      </c>
      <c r="E350" t="s">
        <v>1589</v>
      </c>
      <c r="G350" t="s">
        <v>212</v>
      </c>
      <c r="H350" t="s">
        <v>213</v>
      </c>
      <c r="J350" t="s">
        <v>214</v>
      </c>
      <c r="L350" t="s">
        <v>166</v>
      </c>
      <c r="M350" t="s">
        <v>167</v>
      </c>
      <c r="R350" t="s">
        <v>1589</v>
      </c>
      <c r="W350" t="s">
        <v>1591</v>
      </c>
      <c r="X350" t="s">
        <v>450</v>
      </c>
      <c r="Y350" t="s">
        <v>325</v>
      </c>
      <c r="Z350" t="s">
        <v>110</v>
      </c>
      <c r="AA350" t="str">
        <f>"10002-2301"</f>
        <v>10002-2301</v>
      </c>
      <c r="AB350" t="s">
        <v>172</v>
      </c>
      <c r="AC350" t="s">
        <v>112</v>
      </c>
      <c r="AD350" t="s">
        <v>107</v>
      </c>
      <c r="AE350" t="s">
        <v>113</v>
      </c>
      <c r="AG350" t="s">
        <v>114</v>
      </c>
    </row>
    <row r="351" spans="1:33" x14ac:dyDescent="0.25">
      <c r="A351" t="str">
        <f>"1205895760"</f>
        <v>1205895760</v>
      </c>
      <c r="B351" t="str">
        <f>"00879158"</f>
        <v>00879158</v>
      </c>
      <c r="C351" t="s">
        <v>1592</v>
      </c>
      <c r="D351" t="s">
        <v>1593</v>
      </c>
      <c r="E351" t="s">
        <v>1594</v>
      </c>
      <c r="G351" t="s">
        <v>203</v>
      </c>
      <c r="H351" t="s">
        <v>204</v>
      </c>
      <c r="J351" t="s">
        <v>205</v>
      </c>
      <c r="L351" t="s">
        <v>117</v>
      </c>
      <c r="M351" t="s">
        <v>107</v>
      </c>
      <c r="R351" t="s">
        <v>1592</v>
      </c>
      <c r="W351" t="s">
        <v>1594</v>
      </c>
      <c r="X351" t="s">
        <v>1595</v>
      </c>
      <c r="Y351" t="s">
        <v>422</v>
      </c>
      <c r="Z351" t="s">
        <v>110</v>
      </c>
      <c r="AA351" t="str">
        <f>"11418-2821"</f>
        <v>11418-2821</v>
      </c>
      <c r="AB351" t="s">
        <v>172</v>
      </c>
      <c r="AC351" t="s">
        <v>112</v>
      </c>
      <c r="AD351" t="s">
        <v>107</v>
      </c>
      <c r="AE351" t="s">
        <v>113</v>
      </c>
      <c r="AG351" t="s">
        <v>114</v>
      </c>
    </row>
    <row r="352" spans="1:33" x14ac:dyDescent="0.25">
      <c r="A352" t="str">
        <f>"1346387198"</f>
        <v>1346387198</v>
      </c>
      <c r="B352" t="str">
        <f>"02459790"</f>
        <v>02459790</v>
      </c>
      <c r="C352" t="s">
        <v>1596</v>
      </c>
      <c r="D352" t="s">
        <v>1597</v>
      </c>
      <c r="E352" t="s">
        <v>1598</v>
      </c>
      <c r="G352" t="s">
        <v>195</v>
      </c>
      <c r="H352" t="s">
        <v>196</v>
      </c>
      <c r="J352" t="s">
        <v>197</v>
      </c>
      <c r="L352" t="s">
        <v>215</v>
      </c>
      <c r="M352" t="s">
        <v>167</v>
      </c>
      <c r="R352" t="s">
        <v>1596</v>
      </c>
      <c r="W352" t="s">
        <v>1598</v>
      </c>
      <c r="X352" t="s">
        <v>725</v>
      </c>
      <c r="Y352" t="s">
        <v>399</v>
      </c>
      <c r="Z352" t="s">
        <v>110</v>
      </c>
      <c r="AA352" t="str">
        <f>"11040-1402"</f>
        <v>11040-1402</v>
      </c>
      <c r="AB352" t="s">
        <v>172</v>
      </c>
      <c r="AC352" t="s">
        <v>112</v>
      </c>
      <c r="AD352" t="s">
        <v>107</v>
      </c>
      <c r="AE352" t="s">
        <v>113</v>
      </c>
      <c r="AG352" t="s">
        <v>114</v>
      </c>
    </row>
    <row r="353" spans="1:33" x14ac:dyDescent="0.25">
      <c r="C353" t="s">
        <v>1599</v>
      </c>
      <c r="G353" t="s">
        <v>1054</v>
      </c>
      <c r="H353" t="s">
        <v>1055</v>
      </c>
      <c r="J353" t="s">
        <v>1056</v>
      </c>
      <c r="K353" t="s">
        <v>1057</v>
      </c>
      <c r="L353" t="s">
        <v>711</v>
      </c>
      <c r="M353" t="s">
        <v>107</v>
      </c>
      <c r="N353" t="s">
        <v>1600</v>
      </c>
      <c r="O353" t="s">
        <v>1059</v>
      </c>
      <c r="P353" t="s">
        <v>110</v>
      </c>
      <c r="Q353" t="str">
        <f>"10467"</f>
        <v>10467</v>
      </c>
      <c r="AC353" t="s">
        <v>112</v>
      </c>
      <c r="AD353" t="s">
        <v>107</v>
      </c>
      <c r="AE353" t="s">
        <v>713</v>
      </c>
      <c r="AG353" t="s">
        <v>114</v>
      </c>
    </row>
    <row r="354" spans="1:33" x14ac:dyDescent="0.25">
      <c r="A354" t="str">
        <f>"1851467369"</f>
        <v>1851467369</v>
      </c>
      <c r="B354" t="str">
        <f>"00313511"</f>
        <v>00313511</v>
      </c>
      <c r="C354" t="s">
        <v>1601</v>
      </c>
      <c r="D354" t="s">
        <v>1602</v>
      </c>
      <c r="E354" t="s">
        <v>1603</v>
      </c>
      <c r="G354" t="s">
        <v>394</v>
      </c>
      <c r="H354" t="s">
        <v>395</v>
      </c>
      <c r="J354" t="s">
        <v>396</v>
      </c>
      <c r="L354" t="s">
        <v>405</v>
      </c>
      <c r="M354" t="s">
        <v>167</v>
      </c>
      <c r="R354" t="s">
        <v>1604</v>
      </c>
      <c r="W354" t="s">
        <v>1603</v>
      </c>
      <c r="X354" t="s">
        <v>398</v>
      </c>
      <c r="Y354" t="s">
        <v>399</v>
      </c>
      <c r="Z354" t="s">
        <v>110</v>
      </c>
      <c r="AA354" t="str">
        <f>"11040-1436"</f>
        <v>11040-1436</v>
      </c>
      <c r="AB354" t="s">
        <v>408</v>
      </c>
      <c r="AC354" t="s">
        <v>112</v>
      </c>
      <c r="AD354" t="s">
        <v>107</v>
      </c>
      <c r="AE354" t="s">
        <v>113</v>
      </c>
      <c r="AG354" t="s">
        <v>114</v>
      </c>
    </row>
    <row r="355" spans="1:33" x14ac:dyDescent="0.25">
      <c r="A355" t="str">
        <f>"1932275427"</f>
        <v>1932275427</v>
      </c>
      <c r="B355" t="str">
        <f>"01148961"</f>
        <v>01148961</v>
      </c>
      <c r="C355" t="s">
        <v>1601</v>
      </c>
      <c r="D355" t="s">
        <v>1605</v>
      </c>
      <c r="E355" t="s">
        <v>1606</v>
      </c>
      <c r="G355" t="s">
        <v>394</v>
      </c>
      <c r="H355" t="s">
        <v>395</v>
      </c>
      <c r="J355" t="s">
        <v>396</v>
      </c>
      <c r="L355" t="s">
        <v>67</v>
      </c>
      <c r="M355" t="s">
        <v>107</v>
      </c>
      <c r="R355" t="s">
        <v>1607</v>
      </c>
      <c r="W355" t="s">
        <v>1606</v>
      </c>
      <c r="X355" t="s">
        <v>1608</v>
      </c>
      <c r="Y355" t="s">
        <v>399</v>
      </c>
      <c r="Z355" t="s">
        <v>110</v>
      </c>
      <c r="AA355" t="str">
        <f>"11042-1116"</f>
        <v>11042-1116</v>
      </c>
      <c r="AB355" t="s">
        <v>191</v>
      </c>
      <c r="AC355" t="s">
        <v>112</v>
      </c>
      <c r="AD355" t="s">
        <v>107</v>
      </c>
      <c r="AE355" t="s">
        <v>113</v>
      </c>
      <c r="AG355" t="s">
        <v>114</v>
      </c>
    </row>
    <row r="356" spans="1:33" x14ac:dyDescent="0.25">
      <c r="A356" t="str">
        <f>"1306882857"</f>
        <v>1306882857</v>
      </c>
      <c r="B356" t="str">
        <f>"01530529"</f>
        <v>01530529</v>
      </c>
      <c r="C356" t="s">
        <v>1609</v>
      </c>
      <c r="D356" t="s">
        <v>1610</v>
      </c>
      <c r="E356" t="s">
        <v>1611</v>
      </c>
      <c r="G356" t="s">
        <v>394</v>
      </c>
      <c r="H356" t="s">
        <v>395</v>
      </c>
      <c r="J356" t="s">
        <v>396</v>
      </c>
      <c r="L356" t="s">
        <v>1612</v>
      </c>
      <c r="M356" t="s">
        <v>107</v>
      </c>
      <c r="R356" t="s">
        <v>1613</v>
      </c>
      <c r="W356" t="s">
        <v>1611</v>
      </c>
      <c r="X356" t="s">
        <v>398</v>
      </c>
      <c r="Y356" t="s">
        <v>399</v>
      </c>
      <c r="Z356" t="s">
        <v>110</v>
      </c>
      <c r="AA356" t="str">
        <f>"11040-1436"</f>
        <v>11040-1436</v>
      </c>
      <c r="AB356" t="s">
        <v>1614</v>
      </c>
      <c r="AC356" t="s">
        <v>112</v>
      </c>
      <c r="AD356" t="s">
        <v>107</v>
      </c>
      <c r="AE356" t="s">
        <v>113</v>
      </c>
      <c r="AG356" t="s">
        <v>114</v>
      </c>
    </row>
    <row r="357" spans="1:33" x14ac:dyDescent="0.25">
      <c r="A357" t="str">
        <f>"1578975553"</f>
        <v>1578975553</v>
      </c>
      <c r="C357" t="s">
        <v>1615</v>
      </c>
      <c r="G357" t="s">
        <v>869</v>
      </c>
      <c r="H357" t="s">
        <v>870</v>
      </c>
      <c r="J357" t="s">
        <v>871</v>
      </c>
      <c r="K357" t="s">
        <v>1616</v>
      </c>
      <c r="L357" t="s">
        <v>373</v>
      </c>
      <c r="M357" t="s">
        <v>167</v>
      </c>
      <c r="R357" t="s">
        <v>1615</v>
      </c>
      <c r="S357" t="s">
        <v>1617</v>
      </c>
      <c r="T357" t="s">
        <v>880</v>
      </c>
      <c r="U357" t="s">
        <v>110</v>
      </c>
      <c r="V357" t="str">
        <f>"113691816"</f>
        <v>113691816</v>
      </c>
      <c r="AC357" t="s">
        <v>112</v>
      </c>
      <c r="AD357" t="s">
        <v>107</v>
      </c>
      <c r="AE357" t="s">
        <v>278</v>
      </c>
      <c r="AG357" t="s">
        <v>114</v>
      </c>
    </row>
    <row r="358" spans="1:33" x14ac:dyDescent="0.25">
      <c r="A358" t="str">
        <f>"1639248156"</f>
        <v>1639248156</v>
      </c>
      <c r="B358" t="str">
        <f>"01860195"</f>
        <v>01860195</v>
      </c>
      <c r="C358" t="s">
        <v>1618</v>
      </c>
      <c r="D358" t="s">
        <v>1619</v>
      </c>
      <c r="E358" t="s">
        <v>1620</v>
      </c>
      <c r="G358" t="s">
        <v>195</v>
      </c>
      <c r="H358" t="s">
        <v>196</v>
      </c>
      <c r="J358" t="s">
        <v>197</v>
      </c>
      <c r="L358" t="s">
        <v>166</v>
      </c>
      <c r="M358" t="s">
        <v>167</v>
      </c>
      <c r="R358" t="s">
        <v>1618</v>
      </c>
      <c r="W358" t="s">
        <v>1621</v>
      </c>
      <c r="X358" t="s">
        <v>1622</v>
      </c>
      <c r="Y358" t="s">
        <v>171</v>
      </c>
      <c r="Z358" t="s">
        <v>110</v>
      </c>
      <c r="AA358" t="str">
        <f>"11373-5151"</f>
        <v>11373-5151</v>
      </c>
      <c r="AB358" t="s">
        <v>172</v>
      </c>
      <c r="AC358" t="s">
        <v>112</v>
      </c>
      <c r="AD358" t="s">
        <v>107</v>
      </c>
      <c r="AE358" t="s">
        <v>113</v>
      </c>
      <c r="AG358" t="s">
        <v>114</v>
      </c>
    </row>
    <row r="359" spans="1:33" x14ac:dyDescent="0.25">
      <c r="A359" t="str">
        <f>"1508187816"</f>
        <v>1508187816</v>
      </c>
      <c r="B359" t="str">
        <f>"03311346"</f>
        <v>03311346</v>
      </c>
      <c r="C359" t="s">
        <v>1623</v>
      </c>
      <c r="D359" t="s">
        <v>1624</v>
      </c>
      <c r="E359" t="s">
        <v>1625</v>
      </c>
      <c r="G359" t="s">
        <v>273</v>
      </c>
      <c r="H359" t="s">
        <v>274</v>
      </c>
      <c r="J359" t="s">
        <v>275</v>
      </c>
      <c r="L359" t="s">
        <v>106</v>
      </c>
      <c r="M359" t="s">
        <v>107</v>
      </c>
      <c r="R359" t="s">
        <v>1623</v>
      </c>
      <c r="W359" t="s">
        <v>1625</v>
      </c>
      <c r="X359" t="s">
        <v>1626</v>
      </c>
      <c r="Y359" t="s">
        <v>325</v>
      </c>
      <c r="Z359" t="s">
        <v>110</v>
      </c>
      <c r="AA359" t="str">
        <f>"10002-1502"</f>
        <v>10002-1502</v>
      </c>
      <c r="AB359" t="s">
        <v>111</v>
      </c>
      <c r="AC359" t="s">
        <v>112</v>
      </c>
      <c r="AD359" t="s">
        <v>107</v>
      </c>
      <c r="AE359" t="s">
        <v>113</v>
      </c>
      <c r="AG359" t="s">
        <v>114</v>
      </c>
    </row>
    <row r="360" spans="1:33" x14ac:dyDescent="0.25">
      <c r="A360" t="str">
        <f>"1710101449"</f>
        <v>1710101449</v>
      </c>
      <c r="C360" t="s">
        <v>1627</v>
      </c>
      <c r="G360" t="s">
        <v>273</v>
      </c>
      <c r="H360" t="s">
        <v>274</v>
      </c>
      <c r="J360" t="s">
        <v>275</v>
      </c>
      <c r="K360" t="s">
        <v>276</v>
      </c>
      <c r="L360" t="s">
        <v>106</v>
      </c>
      <c r="M360" t="s">
        <v>107</v>
      </c>
      <c r="R360" t="s">
        <v>1627</v>
      </c>
      <c r="S360" t="s">
        <v>1628</v>
      </c>
      <c r="T360" t="s">
        <v>109</v>
      </c>
      <c r="U360" t="s">
        <v>110</v>
      </c>
      <c r="V360" t="str">
        <f>"113743563"</f>
        <v>113743563</v>
      </c>
      <c r="AC360" t="s">
        <v>112</v>
      </c>
      <c r="AD360" t="s">
        <v>107</v>
      </c>
      <c r="AE360" t="s">
        <v>278</v>
      </c>
      <c r="AG360" t="s">
        <v>114</v>
      </c>
    </row>
    <row r="361" spans="1:33" x14ac:dyDescent="0.25">
      <c r="A361" t="str">
        <f>"1801835830"</f>
        <v>1801835830</v>
      </c>
      <c r="B361" t="str">
        <f>"00846626"</f>
        <v>00846626</v>
      </c>
      <c r="C361" t="s">
        <v>1629</v>
      </c>
      <c r="D361" t="s">
        <v>1630</v>
      </c>
      <c r="E361" t="s">
        <v>1631</v>
      </c>
      <c r="G361" t="s">
        <v>176</v>
      </c>
      <c r="H361" t="s">
        <v>177</v>
      </c>
      <c r="I361">
        <v>3264</v>
      </c>
      <c r="J361" t="s">
        <v>178</v>
      </c>
      <c r="L361" t="s">
        <v>215</v>
      </c>
      <c r="M361" t="s">
        <v>107</v>
      </c>
      <c r="R361" t="s">
        <v>1629</v>
      </c>
      <c r="W361" t="s">
        <v>1631</v>
      </c>
      <c r="X361" t="s">
        <v>190</v>
      </c>
      <c r="Y361" t="s">
        <v>183</v>
      </c>
      <c r="Z361" t="s">
        <v>110</v>
      </c>
      <c r="AA361" t="str">
        <f>"10452-2001"</f>
        <v>10452-2001</v>
      </c>
      <c r="AB361" t="s">
        <v>217</v>
      </c>
      <c r="AC361" t="s">
        <v>112</v>
      </c>
      <c r="AD361" t="s">
        <v>107</v>
      </c>
      <c r="AE361" t="s">
        <v>113</v>
      </c>
      <c r="AG361" t="s">
        <v>114</v>
      </c>
    </row>
    <row r="362" spans="1:33" x14ac:dyDescent="0.25">
      <c r="A362" t="str">
        <f>"1366791030"</f>
        <v>1366791030</v>
      </c>
      <c r="C362" t="s">
        <v>1632</v>
      </c>
      <c r="G362" t="s">
        <v>273</v>
      </c>
      <c r="H362" t="s">
        <v>274</v>
      </c>
      <c r="J362" t="s">
        <v>275</v>
      </c>
      <c r="K362" t="s">
        <v>276</v>
      </c>
      <c r="L362" t="s">
        <v>106</v>
      </c>
      <c r="M362" t="s">
        <v>107</v>
      </c>
      <c r="R362" t="s">
        <v>1632</v>
      </c>
      <c r="S362" t="s">
        <v>1380</v>
      </c>
      <c r="T362" t="s">
        <v>1159</v>
      </c>
      <c r="U362" t="s">
        <v>110</v>
      </c>
      <c r="V362" t="str">
        <f>"113773576"</f>
        <v>113773576</v>
      </c>
      <c r="AC362" t="s">
        <v>112</v>
      </c>
      <c r="AD362" t="s">
        <v>107</v>
      </c>
      <c r="AE362" t="s">
        <v>278</v>
      </c>
      <c r="AG362" t="s">
        <v>114</v>
      </c>
    </row>
    <row r="363" spans="1:33" x14ac:dyDescent="0.25">
      <c r="A363" t="str">
        <f>"1164476404"</f>
        <v>1164476404</v>
      </c>
      <c r="B363" t="str">
        <f>"02390852"</f>
        <v>02390852</v>
      </c>
      <c r="C363" t="s">
        <v>1633</v>
      </c>
      <c r="D363" t="s">
        <v>1634</v>
      </c>
      <c r="E363" t="s">
        <v>1635</v>
      </c>
      <c r="G363" t="s">
        <v>195</v>
      </c>
      <c r="H363" t="s">
        <v>196</v>
      </c>
      <c r="J363" t="s">
        <v>197</v>
      </c>
      <c r="L363" t="s">
        <v>215</v>
      </c>
      <c r="M363" t="s">
        <v>167</v>
      </c>
      <c r="R363" t="s">
        <v>1633</v>
      </c>
      <c r="W363" t="s">
        <v>1635</v>
      </c>
      <c r="X363" t="s">
        <v>1636</v>
      </c>
      <c r="Y363" t="s">
        <v>225</v>
      </c>
      <c r="Z363" t="s">
        <v>110</v>
      </c>
      <c r="AA363" t="str">
        <f>"11355-5341"</f>
        <v>11355-5341</v>
      </c>
      <c r="AB363" t="s">
        <v>172</v>
      </c>
      <c r="AC363" t="s">
        <v>112</v>
      </c>
      <c r="AD363" t="s">
        <v>107</v>
      </c>
      <c r="AE363" t="s">
        <v>113</v>
      </c>
      <c r="AG363" t="s">
        <v>114</v>
      </c>
    </row>
    <row r="364" spans="1:33" x14ac:dyDescent="0.25">
      <c r="A364" t="str">
        <f>"1881704971"</f>
        <v>1881704971</v>
      </c>
      <c r="B364" t="str">
        <f>"01018088"</f>
        <v>01018088</v>
      </c>
      <c r="C364" t="s">
        <v>1637</v>
      </c>
      <c r="D364" t="s">
        <v>1638</v>
      </c>
      <c r="E364" t="s">
        <v>1639</v>
      </c>
      <c r="G364" t="s">
        <v>1248</v>
      </c>
      <c r="H364" t="s">
        <v>1249</v>
      </c>
      <c r="I364">
        <v>216</v>
      </c>
      <c r="J364" t="s">
        <v>1250</v>
      </c>
      <c r="L364" t="s">
        <v>166</v>
      </c>
      <c r="M364" t="s">
        <v>107</v>
      </c>
      <c r="R364" t="s">
        <v>1637</v>
      </c>
      <c r="W364" t="s">
        <v>1639</v>
      </c>
      <c r="X364" t="s">
        <v>1640</v>
      </c>
      <c r="Y364" t="s">
        <v>109</v>
      </c>
      <c r="Z364" t="s">
        <v>110</v>
      </c>
      <c r="AA364" t="str">
        <f>"11374-4356"</f>
        <v>11374-4356</v>
      </c>
      <c r="AB364" t="s">
        <v>172</v>
      </c>
      <c r="AC364" t="s">
        <v>112</v>
      </c>
      <c r="AD364" t="s">
        <v>107</v>
      </c>
      <c r="AE364" t="s">
        <v>113</v>
      </c>
      <c r="AG364" t="s">
        <v>114</v>
      </c>
    </row>
    <row r="365" spans="1:33" x14ac:dyDescent="0.25">
      <c r="A365" t="str">
        <f>"1588687453"</f>
        <v>1588687453</v>
      </c>
      <c r="B365" t="str">
        <f>"00705202"</f>
        <v>00705202</v>
      </c>
      <c r="C365" t="s">
        <v>1641</v>
      </c>
      <c r="D365" t="s">
        <v>1642</v>
      </c>
      <c r="E365" t="s">
        <v>1643</v>
      </c>
      <c r="G365" t="s">
        <v>1248</v>
      </c>
      <c r="H365" t="s">
        <v>1249</v>
      </c>
      <c r="I365">
        <v>216</v>
      </c>
      <c r="J365" t="s">
        <v>1250</v>
      </c>
      <c r="L365" t="s">
        <v>106</v>
      </c>
      <c r="M365" t="s">
        <v>107</v>
      </c>
      <c r="R365" t="s">
        <v>1641</v>
      </c>
      <c r="W365" t="s">
        <v>1643</v>
      </c>
      <c r="X365" t="s">
        <v>1644</v>
      </c>
      <c r="Y365" t="s">
        <v>1645</v>
      </c>
      <c r="Z365" t="s">
        <v>110</v>
      </c>
      <c r="AA365" t="str">
        <f>"10952-5230"</f>
        <v>10952-5230</v>
      </c>
      <c r="AB365" t="s">
        <v>217</v>
      </c>
      <c r="AC365" t="s">
        <v>112</v>
      </c>
      <c r="AD365" t="s">
        <v>107</v>
      </c>
      <c r="AE365" t="s">
        <v>113</v>
      </c>
      <c r="AG365" t="s">
        <v>114</v>
      </c>
    </row>
    <row r="366" spans="1:33" x14ac:dyDescent="0.25">
      <c r="A366" t="str">
        <f>"1114097896"</f>
        <v>1114097896</v>
      </c>
      <c r="B366" t="str">
        <f>"00434331"</f>
        <v>00434331</v>
      </c>
      <c r="C366" t="s">
        <v>1646</v>
      </c>
      <c r="D366" t="s">
        <v>1647</v>
      </c>
      <c r="E366" t="s">
        <v>1648</v>
      </c>
      <c r="G366" t="s">
        <v>1248</v>
      </c>
      <c r="H366" t="s">
        <v>1249</v>
      </c>
      <c r="I366">
        <v>216</v>
      </c>
      <c r="J366" t="s">
        <v>1250</v>
      </c>
      <c r="L366" t="s">
        <v>215</v>
      </c>
      <c r="M366" t="s">
        <v>167</v>
      </c>
      <c r="R366" t="s">
        <v>1646</v>
      </c>
      <c r="W366" t="s">
        <v>1648</v>
      </c>
      <c r="X366" t="s">
        <v>1649</v>
      </c>
      <c r="Y366" t="s">
        <v>325</v>
      </c>
      <c r="Z366" t="s">
        <v>110</v>
      </c>
      <c r="AA366" t="str">
        <f>"10029-6500"</f>
        <v>10029-6500</v>
      </c>
      <c r="AB366" t="s">
        <v>172</v>
      </c>
      <c r="AC366" t="s">
        <v>112</v>
      </c>
      <c r="AD366" t="s">
        <v>107</v>
      </c>
      <c r="AE366" t="s">
        <v>113</v>
      </c>
      <c r="AG366" t="s">
        <v>114</v>
      </c>
    </row>
    <row r="367" spans="1:33" x14ac:dyDescent="0.25">
      <c r="A367" t="str">
        <f>"1215217260"</f>
        <v>1215217260</v>
      </c>
      <c r="B367" t="str">
        <f>"03399617"</f>
        <v>03399617</v>
      </c>
      <c r="C367" t="s">
        <v>1650</v>
      </c>
      <c r="D367" t="s">
        <v>1651</v>
      </c>
      <c r="E367" t="s">
        <v>1652</v>
      </c>
      <c r="G367" t="s">
        <v>176</v>
      </c>
      <c r="H367" t="s">
        <v>177</v>
      </c>
      <c r="I367">
        <v>3264</v>
      </c>
      <c r="J367" t="s">
        <v>178</v>
      </c>
      <c r="L367" t="s">
        <v>117</v>
      </c>
      <c r="M367" t="s">
        <v>107</v>
      </c>
      <c r="R367" t="s">
        <v>1650</v>
      </c>
      <c r="W367" t="s">
        <v>1653</v>
      </c>
      <c r="X367" t="s">
        <v>190</v>
      </c>
      <c r="Y367" t="s">
        <v>183</v>
      </c>
      <c r="Z367" t="s">
        <v>110</v>
      </c>
      <c r="AA367" t="str">
        <f>"10452-2001"</f>
        <v>10452-2001</v>
      </c>
      <c r="AB367" t="s">
        <v>606</v>
      </c>
      <c r="AC367" t="s">
        <v>112</v>
      </c>
      <c r="AD367" t="s">
        <v>107</v>
      </c>
      <c r="AE367" t="s">
        <v>113</v>
      </c>
      <c r="AG367" t="s">
        <v>114</v>
      </c>
    </row>
    <row r="368" spans="1:33" x14ac:dyDescent="0.25">
      <c r="A368" t="str">
        <f>"1770580441"</f>
        <v>1770580441</v>
      </c>
      <c r="B368" t="str">
        <f>"00865509"</f>
        <v>00865509</v>
      </c>
      <c r="C368" t="s">
        <v>1654</v>
      </c>
      <c r="D368" t="s">
        <v>1655</v>
      </c>
      <c r="E368" t="s">
        <v>1656</v>
      </c>
      <c r="G368" t="s">
        <v>195</v>
      </c>
      <c r="H368" t="s">
        <v>196</v>
      </c>
      <c r="J368" t="s">
        <v>197</v>
      </c>
      <c r="L368" t="s">
        <v>166</v>
      </c>
      <c r="M368" t="s">
        <v>107</v>
      </c>
      <c r="R368" t="s">
        <v>1654</v>
      </c>
      <c r="W368" t="s">
        <v>1656</v>
      </c>
      <c r="X368" t="s">
        <v>1657</v>
      </c>
      <c r="Y368" t="s">
        <v>422</v>
      </c>
      <c r="Z368" t="s">
        <v>110</v>
      </c>
      <c r="AA368" t="str">
        <f>"11432-1831"</f>
        <v>11432-1831</v>
      </c>
      <c r="AB368" t="s">
        <v>172</v>
      </c>
      <c r="AC368" t="s">
        <v>112</v>
      </c>
      <c r="AD368" t="s">
        <v>107</v>
      </c>
      <c r="AE368" t="s">
        <v>113</v>
      </c>
      <c r="AG368" t="s">
        <v>114</v>
      </c>
    </row>
    <row r="369" spans="1:33" x14ac:dyDescent="0.25">
      <c r="A369" t="str">
        <f>"1477764496"</f>
        <v>1477764496</v>
      </c>
      <c r="B369" t="str">
        <f>"00695941"</f>
        <v>00695941</v>
      </c>
      <c r="C369" t="s">
        <v>1658</v>
      </c>
      <c r="D369" t="s">
        <v>1659</v>
      </c>
      <c r="E369" t="s">
        <v>1660</v>
      </c>
      <c r="G369" t="s">
        <v>212</v>
      </c>
      <c r="H369" t="s">
        <v>213</v>
      </c>
      <c r="J369" t="s">
        <v>1661</v>
      </c>
      <c r="L369" t="s">
        <v>1662</v>
      </c>
      <c r="M369" t="s">
        <v>167</v>
      </c>
      <c r="R369" t="s">
        <v>1663</v>
      </c>
      <c r="W369" t="s">
        <v>1660</v>
      </c>
      <c r="X369" t="s">
        <v>1664</v>
      </c>
      <c r="Y369" t="s">
        <v>1253</v>
      </c>
      <c r="Z369" t="s">
        <v>110</v>
      </c>
      <c r="AA369" t="str">
        <f>"11101-4213"</f>
        <v>11101-4213</v>
      </c>
      <c r="AB369" t="s">
        <v>184</v>
      </c>
      <c r="AC369" t="s">
        <v>112</v>
      </c>
      <c r="AD369" t="s">
        <v>107</v>
      </c>
      <c r="AE369" t="s">
        <v>113</v>
      </c>
      <c r="AG369" t="s">
        <v>114</v>
      </c>
    </row>
    <row r="370" spans="1:33" x14ac:dyDescent="0.25">
      <c r="A370" t="str">
        <f>"1831253004"</f>
        <v>1831253004</v>
      </c>
      <c r="B370" t="str">
        <f>"00476646"</f>
        <v>00476646</v>
      </c>
      <c r="C370" t="s">
        <v>1665</v>
      </c>
      <c r="D370" t="s">
        <v>1666</v>
      </c>
      <c r="E370" t="s">
        <v>1665</v>
      </c>
      <c r="G370" t="s">
        <v>289</v>
      </c>
      <c r="H370" t="s">
        <v>290</v>
      </c>
      <c r="J370" t="s">
        <v>291</v>
      </c>
      <c r="L370" t="s">
        <v>13</v>
      </c>
      <c r="M370" t="s">
        <v>107</v>
      </c>
      <c r="R370" t="s">
        <v>1192</v>
      </c>
      <c r="W370" t="s">
        <v>1665</v>
      </c>
      <c r="X370" t="s">
        <v>1667</v>
      </c>
      <c r="Y370" t="s">
        <v>481</v>
      </c>
      <c r="Z370" t="s">
        <v>110</v>
      </c>
      <c r="AA370" t="str">
        <f>"11427"</f>
        <v>11427</v>
      </c>
      <c r="AB370" t="s">
        <v>688</v>
      </c>
      <c r="AC370" t="s">
        <v>112</v>
      </c>
      <c r="AD370" t="s">
        <v>107</v>
      </c>
      <c r="AE370" t="s">
        <v>113</v>
      </c>
      <c r="AG370" t="s">
        <v>114</v>
      </c>
    </row>
    <row r="371" spans="1:33" x14ac:dyDescent="0.25">
      <c r="A371" t="str">
        <f>"1588603203"</f>
        <v>1588603203</v>
      </c>
      <c r="B371" t="str">
        <f>"01045298"</f>
        <v>01045298</v>
      </c>
      <c r="C371" t="s">
        <v>1668</v>
      </c>
      <c r="D371" t="s">
        <v>1669</v>
      </c>
      <c r="E371" t="s">
        <v>1670</v>
      </c>
      <c r="G371" t="s">
        <v>402</v>
      </c>
      <c r="H371" t="s">
        <v>403</v>
      </c>
      <c r="J371" t="s">
        <v>404</v>
      </c>
      <c r="L371" t="s">
        <v>166</v>
      </c>
      <c r="M371" t="s">
        <v>107</v>
      </c>
      <c r="R371" t="s">
        <v>1668</v>
      </c>
      <c r="W371" t="s">
        <v>1671</v>
      </c>
      <c r="X371" t="s">
        <v>1672</v>
      </c>
      <c r="Y371" t="s">
        <v>1673</v>
      </c>
      <c r="Z371" t="s">
        <v>110</v>
      </c>
      <c r="AA371" t="str">
        <f>"11421-1130"</f>
        <v>11421-1130</v>
      </c>
      <c r="AB371" t="s">
        <v>172</v>
      </c>
      <c r="AC371" t="s">
        <v>112</v>
      </c>
      <c r="AD371" t="s">
        <v>107</v>
      </c>
      <c r="AE371" t="s">
        <v>113</v>
      </c>
      <c r="AG371" t="s">
        <v>114</v>
      </c>
    </row>
    <row r="372" spans="1:33" x14ac:dyDescent="0.25">
      <c r="A372" t="str">
        <f>"1225099625"</f>
        <v>1225099625</v>
      </c>
      <c r="B372" t="str">
        <f>"01467638"</f>
        <v>01467638</v>
      </c>
      <c r="C372" t="s">
        <v>1674</v>
      </c>
      <c r="D372" t="s">
        <v>1675</v>
      </c>
      <c r="E372" t="s">
        <v>1676</v>
      </c>
      <c r="G372" t="s">
        <v>360</v>
      </c>
      <c r="H372" t="s">
        <v>361</v>
      </c>
      <c r="I372">
        <v>122</v>
      </c>
      <c r="J372" t="s">
        <v>362</v>
      </c>
      <c r="L372" t="s">
        <v>166</v>
      </c>
      <c r="M372" t="s">
        <v>107</v>
      </c>
      <c r="R372" t="s">
        <v>1674</v>
      </c>
      <c r="W372" t="s">
        <v>1676</v>
      </c>
      <c r="X372" t="s">
        <v>1677</v>
      </c>
      <c r="Y372" t="s">
        <v>1678</v>
      </c>
      <c r="Z372" t="s">
        <v>110</v>
      </c>
      <c r="AA372" t="str">
        <f>"11362"</f>
        <v>11362</v>
      </c>
      <c r="AB372" t="s">
        <v>172</v>
      </c>
      <c r="AC372" t="s">
        <v>112</v>
      </c>
      <c r="AD372" t="s">
        <v>107</v>
      </c>
      <c r="AE372" t="s">
        <v>113</v>
      </c>
      <c r="AG372" t="s">
        <v>114</v>
      </c>
    </row>
    <row r="373" spans="1:33" x14ac:dyDescent="0.25">
      <c r="A373" t="str">
        <f>"1669520342"</f>
        <v>1669520342</v>
      </c>
      <c r="B373" t="str">
        <f>"02687218"</f>
        <v>02687218</v>
      </c>
      <c r="C373" t="s">
        <v>1679</v>
      </c>
      <c r="D373" t="s">
        <v>1680</v>
      </c>
      <c r="E373" t="s">
        <v>1681</v>
      </c>
      <c r="G373" t="s">
        <v>195</v>
      </c>
      <c r="H373" t="s">
        <v>196</v>
      </c>
      <c r="J373" t="s">
        <v>197</v>
      </c>
      <c r="L373" t="s">
        <v>215</v>
      </c>
      <c r="M373" t="s">
        <v>167</v>
      </c>
      <c r="R373" t="s">
        <v>1679</v>
      </c>
      <c r="W373" t="s">
        <v>1681</v>
      </c>
      <c r="X373" t="s">
        <v>1682</v>
      </c>
      <c r="Y373" t="s">
        <v>422</v>
      </c>
      <c r="Z373" t="s">
        <v>110</v>
      </c>
      <c r="AA373" t="str">
        <f>"11432"</f>
        <v>11432</v>
      </c>
      <c r="AB373" t="s">
        <v>172</v>
      </c>
      <c r="AC373" t="s">
        <v>112</v>
      </c>
      <c r="AD373" t="s">
        <v>107</v>
      </c>
      <c r="AE373" t="s">
        <v>113</v>
      </c>
      <c r="AG373" t="s">
        <v>114</v>
      </c>
    </row>
    <row r="374" spans="1:33" x14ac:dyDescent="0.25">
      <c r="A374" t="str">
        <f>"1053663120"</f>
        <v>1053663120</v>
      </c>
      <c r="C374" t="s">
        <v>1683</v>
      </c>
      <c r="G374" t="s">
        <v>273</v>
      </c>
      <c r="H374" t="s">
        <v>274</v>
      </c>
      <c r="J374" t="s">
        <v>275</v>
      </c>
      <c r="K374" t="s">
        <v>276</v>
      </c>
      <c r="L374" t="s">
        <v>106</v>
      </c>
      <c r="M374" t="s">
        <v>107</v>
      </c>
      <c r="R374" t="s">
        <v>1683</v>
      </c>
      <c r="S374" t="s">
        <v>1271</v>
      </c>
      <c r="T374" t="s">
        <v>200</v>
      </c>
      <c r="U374" t="s">
        <v>110</v>
      </c>
      <c r="V374" t="str">
        <f>"113726300"</f>
        <v>113726300</v>
      </c>
      <c r="AC374" t="s">
        <v>112</v>
      </c>
      <c r="AD374" t="s">
        <v>107</v>
      </c>
      <c r="AE374" t="s">
        <v>278</v>
      </c>
      <c r="AG374" t="s">
        <v>114</v>
      </c>
    </row>
    <row r="375" spans="1:33" x14ac:dyDescent="0.25">
      <c r="A375" t="str">
        <f>"1821073032"</f>
        <v>1821073032</v>
      </c>
      <c r="B375" t="str">
        <f>"02394961"</f>
        <v>02394961</v>
      </c>
      <c r="C375" t="s">
        <v>1684</v>
      </c>
      <c r="D375" t="s">
        <v>1685</v>
      </c>
      <c r="E375" t="s">
        <v>1686</v>
      </c>
      <c r="G375" t="s">
        <v>221</v>
      </c>
      <c r="H375" t="s">
        <v>222</v>
      </c>
      <c r="I375">
        <v>203</v>
      </c>
      <c r="J375" t="s">
        <v>223</v>
      </c>
      <c r="L375" t="s">
        <v>215</v>
      </c>
      <c r="M375" t="s">
        <v>107</v>
      </c>
      <c r="R375" t="s">
        <v>1684</v>
      </c>
      <c r="W375" t="s">
        <v>1686</v>
      </c>
      <c r="X375" t="s">
        <v>885</v>
      </c>
      <c r="Y375" t="s">
        <v>647</v>
      </c>
      <c r="Z375" t="s">
        <v>110</v>
      </c>
      <c r="AA375" t="str">
        <f>"11365-1539"</f>
        <v>11365-1539</v>
      </c>
      <c r="AB375" t="s">
        <v>172</v>
      </c>
      <c r="AC375" t="s">
        <v>112</v>
      </c>
      <c r="AD375" t="s">
        <v>107</v>
      </c>
      <c r="AE375" t="s">
        <v>113</v>
      </c>
      <c r="AG375" t="s">
        <v>114</v>
      </c>
    </row>
    <row r="376" spans="1:33" x14ac:dyDescent="0.25">
      <c r="A376" t="str">
        <f>"1811963002"</f>
        <v>1811963002</v>
      </c>
      <c r="B376" t="str">
        <f>"00963171"</f>
        <v>00963171</v>
      </c>
      <c r="C376" t="s">
        <v>1687</v>
      </c>
      <c r="D376" t="s">
        <v>1688</v>
      </c>
      <c r="E376" t="s">
        <v>1689</v>
      </c>
      <c r="G376" t="s">
        <v>221</v>
      </c>
      <c r="H376" t="s">
        <v>222</v>
      </c>
      <c r="I376">
        <v>203</v>
      </c>
      <c r="J376" t="s">
        <v>223</v>
      </c>
      <c r="L376" t="s">
        <v>166</v>
      </c>
      <c r="M376" t="s">
        <v>107</v>
      </c>
      <c r="R376" t="s">
        <v>1687</v>
      </c>
      <c r="W376" t="s">
        <v>1689</v>
      </c>
      <c r="X376" t="s">
        <v>1690</v>
      </c>
      <c r="Y376" t="s">
        <v>225</v>
      </c>
      <c r="Z376" t="s">
        <v>110</v>
      </c>
      <c r="AA376" t="str">
        <f>"11355-2132"</f>
        <v>11355-2132</v>
      </c>
      <c r="AB376" t="s">
        <v>172</v>
      </c>
      <c r="AC376" t="s">
        <v>112</v>
      </c>
      <c r="AD376" t="s">
        <v>107</v>
      </c>
      <c r="AE376" t="s">
        <v>113</v>
      </c>
      <c r="AG376" t="s">
        <v>114</v>
      </c>
    </row>
    <row r="377" spans="1:33" x14ac:dyDescent="0.25">
      <c r="A377" t="str">
        <f>"1700978566"</f>
        <v>1700978566</v>
      </c>
      <c r="B377" t="str">
        <f>"00852511"</f>
        <v>00852511</v>
      </c>
      <c r="C377" t="s">
        <v>1691</v>
      </c>
      <c r="D377" t="s">
        <v>1692</v>
      </c>
      <c r="E377" t="s">
        <v>1693</v>
      </c>
      <c r="G377" t="s">
        <v>221</v>
      </c>
      <c r="H377" t="s">
        <v>222</v>
      </c>
      <c r="I377">
        <v>203</v>
      </c>
      <c r="J377" t="s">
        <v>223</v>
      </c>
      <c r="L377" t="s">
        <v>215</v>
      </c>
      <c r="M377" t="s">
        <v>107</v>
      </c>
      <c r="R377" t="s">
        <v>1691</v>
      </c>
      <c r="W377" t="s">
        <v>1693</v>
      </c>
      <c r="X377" t="s">
        <v>1694</v>
      </c>
      <c r="Y377" t="s">
        <v>325</v>
      </c>
      <c r="Z377" t="s">
        <v>110</v>
      </c>
      <c r="AA377" t="str">
        <f>"10028-0934"</f>
        <v>10028-0934</v>
      </c>
      <c r="AB377" t="s">
        <v>172</v>
      </c>
      <c r="AC377" t="s">
        <v>112</v>
      </c>
      <c r="AD377" t="s">
        <v>107</v>
      </c>
      <c r="AE377" t="s">
        <v>113</v>
      </c>
      <c r="AG377" t="s">
        <v>114</v>
      </c>
    </row>
    <row r="378" spans="1:33" x14ac:dyDescent="0.25">
      <c r="A378" t="str">
        <f>"1194828517"</f>
        <v>1194828517</v>
      </c>
      <c r="B378" t="str">
        <f>"01546794"</f>
        <v>01546794</v>
      </c>
      <c r="C378" t="s">
        <v>1695</v>
      </c>
      <c r="D378" t="s">
        <v>1696</v>
      </c>
      <c r="E378" t="s">
        <v>1697</v>
      </c>
      <c r="G378" t="s">
        <v>221</v>
      </c>
      <c r="H378" t="s">
        <v>222</v>
      </c>
      <c r="I378">
        <v>203</v>
      </c>
      <c r="J378" t="s">
        <v>223</v>
      </c>
      <c r="L378" t="s">
        <v>215</v>
      </c>
      <c r="M378" t="s">
        <v>107</v>
      </c>
      <c r="R378" t="s">
        <v>1695</v>
      </c>
      <c r="W378" t="s">
        <v>1697</v>
      </c>
      <c r="X378" t="s">
        <v>1698</v>
      </c>
      <c r="Y378" t="s">
        <v>240</v>
      </c>
      <c r="Z378" t="s">
        <v>110</v>
      </c>
      <c r="AA378" t="str">
        <f>"11219-2999"</f>
        <v>11219-2999</v>
      </c>
      <c r="AB378" t="s">
        <v>172</v>
      </c>
      <c r="AC378" t="s">
        <v>112</v>
      </c>
      <c r="AD378" t="s">
        <v>107</v>
      </c>
      <c r="AE378" t="s">
        <v>113</v>
      </c>
      <c r="AG378" t="s">
        <v>114</v>
      </c>
    </row>
    <row r="379" spans="1:33" x14ac:dyDescent="0.25">
      <c r="A379" t="str">
        <f>"1366683112"</f>
        <v>1366683112</v>
      </c>
      <c r="B379" t="str">
        <f>"03127800"</f>
        <v>03127800</v>
      </c>
      <c r="C379" t="s">
        <v>1699</v>
      </c>
      <c r="D379" t="s">
        <v>1700</v>
      </c>
      <c r="E379" t="s">
        <v>1701</v>
      </c>
      <c r="G379" t="s">
        <v>221</v>
      </c>
      <c r="H379" t="s">
        <v>222</v>
      </c>
      <c r="I379">
        <v>203</v>
      </c>
      <c r="J379" t="s">
        <v>223</v>
      </c>
      <c r="L379" t="s">
        <v>117</v>
      </c>
      <c r="M379" t="s">
        <v>107</v>
      </c>
      <c r="R379" t="s">
        <v>1699</v>
      </c>
      <c r="W379" t="s">
        <v>1701</v>
      </c>
      <c r="X379" t="s">
        <v>375</v>
      </c>
      <c r="Y379" t="s">
        <v>225</v>
      </c>
      <c r="Z379" t="s">
        <v>110</v>
      </c>
      <c r="AA379" t="str">
        <f>"11354-3524"</f>
        <v>11354-3524</v>
      </c>
      <c r="AB379" t="s">
        <v>172</v>
      </c>
      <c r="AC379" t="s">
        <v>112</v>
      </c>
      <c r="AD379" t="s">
        <v>107</v>
      </c>
      <c r="AE379" t="s">
        <v>113</v>
      </c>
      <c r="AG379" t="s">
        <v>114</v>
      </c>
    </row>
    <row r="380" spans="1:33" x14ac:dyDescent="0.25">
      <c r="A380" t="str">
        <f>"1740406206"</f>
        <v>1740406206</v>
      </c>
      <c r="B380" t="str">
        <f>"03381573"</f>
        <v>03381573</v>
      </c>
      <c r="C380" t="s">
        <v>1702</v>
      </c>
      <c r="D380" t="s">
        <v>1703</v>
      </c>
      <c r="E380" t="s">
        <v>1702</v>
      </c>
      <c r="G380" t="s">
        <v>221</v>
      </c>
      <c r="H380" t="s">
        <v>222</v>
      </c>
      <c r="I380">
        <v>203</v>
      </c>
      <c r="J380" t="s">
        <v>223</v>
      </c>
      <c r="L380" t="s">
        <v>166</v>
      </c>
      <c r="M380" t="s">
        <v>167</v>
      </c>
      <c r="R380" t="s">
        <v>1702</v>
      </c>
      <c r="W380" t="s">
        <v>1702</v>
      </c>
      <c r="X380" t="s">
        <v>1512</v>
      </c>
      <c r="Y380" t="s">
        <v>325</v>
      </c>
      <c r="Z380" t="s">
        <v>110</v>
      </c>
      <c r="AA380" t="str">
        <f>"10013-4557"</f>
        <v>10013-4557</v>
      </c>
      <c r="AB380" t="s">
        <v>172</v>
      </c>
      <c r="AC380" t="s">
        <v>112</v>
      </c>
      <c r="AD380" t="s">
        <v>107</v>
      </c>
      <c r="AE380" t="s">
        <v>113</v>
      </c>
      <c r="AG380" t="s">
        <v>114</v>
      </c>
    </row>
    <row r="381" spans="1:33" x14ac:dyDescent="0.25">
      <c r="A381" t="str">
        <f>"1134107774"</f>
        <v>1134107774</v>
      </c>
      <c r="B381" t="str">
        <f>"00848619"</f>
        <v>00848619</v>
      </c>
      <c r="C381" t="s">
        <v>1704</v>
      </c>
      <c r="D381" t="s">
        <v>1705</v>
      </c>
      <c r="E381" t="s">
        <v>1706</v>
      </c>
      <c r="G381" t="s">
        <v>221</v>
      </c>
      <c r="H381" t="s">
        <v>222</v>
      </c>
      <c r="I381">
        <v>203</v>
      </c>
      <c r="J381" t="s">
        <v>223</v>
      </c>
      <c r="L381" t="s">
        <v>215</v>
      </c>
      <c r="M381" t="s">
        <v>107</v>
      </c>
      <c r="R381" t="s">
        <v>1704</v>
      </c>
      <c r="W381" t="s">
        <v>1707</v>
      </c>
      <c r="X381" t="s">
        <v>1708</v>
      </c>
      <c r="Y381" t="s">
        <v>240</v>
      </c>
      <c r="Z381" t="s">
        <v>110</v>
      </c>
      <c r="AA381" t="str">
        <f>"11208-5110"</f>
        <v>11208-5110</v>
      </c>
      <c r="AB381" t="s">
        <v>172</v>
      </c>
      <c r="AC381" t="s">
        <v>112</v>
      </c>
      <c r="AD381" t="s">
        <v>107</v>
      </c>
      <c r="AE381" t="s">
        <v>113</v>
      </c>
      <c r="AG381" t="s">
        <v>114</v>
      </c>
    </row>
    <row r="382" spans="1:33" x14ac:dyDescent="0.25">
      <c r="A382" t="str">
        <f>"1861549156"</f>
        <v>1861549156</v>
      </c>
      <c r="B382" t="str">
        <f>"00315595"</f>
        <v>00315595</v>
      </c>
      <c r="C382" t="s">
        <v>1709</v>
      </c>
      <c r="D382" t="s">
        <v>1710</v>
      </c>
      <c r="E382" t="s">
        <v>1711</v>
      </c>
      <c r="G382" t="s">
        <v>221</v>
      </c>
      <c r="H382" t="s">
        <v>222</v>
      </c>
      <c r="I382">
        <v>203</v>
      </c>
      <c r="J382" t="s">
        <v>223</v>
      </c>
      <c r="L382" t="s">
        <v>215</v>
      </c>
      <c r="M382" t="s">
        <v>107</v>
      </c>
      <c r="R382" t="s">
        <v>1709</v>
      </c>
      <c r="W382" t="s">
        <v>1712</v>
      </c>
      <c r="X382" t="s">
        <v>1713</v>
      </c>
      <c r="Y382" t="s">
        <v>235</v>
      </c>
      <c r="Z382" t="s">
        <v>110</v>
      </c>
      <c r="AA382" t="str">
        <f>"11361-1512"</f>
        <v>11361-1512</v>
      </c>
      <c r="AB382" t="s">
        <v>172</v>
      </c>
      <c r="AC382" t="s">
        <v>112</v>
      </c>
      <c r="AD382" t="s">
        <v>107</v>
      </c>
      <c r="AE382" t="s">
        <v>113</v>
      </c>
      <c r="AG382" t="s">
        <v>114</v>
      </c>
    </row>
    <row r="383" spans="1:33" x14ac:dyDescent="0.25">
      <c r="A383" t="str">
        <f>"1750395000"</f>
        <v>1750395000</v>
      </c>
      <c r="B383" t="str">
        <f>"01894586"</f>
        <v>01894586</v>
      </c>
      <c r="C383" t="s">
        <v>1714</v>
      </c>
      <c r="D383" t="s">
        <v>1715</v>
      </c>
      <c r="E383" t="s">
        <v>1716</v>
      </c>
      <c r="G383" t="s">
        <v>221</v>
      </c>
      <c r="H383" t="s">
        <v>222</v>
      </c>
      <c r="I383">
        <v>203</v>
      </c>
      <c r="J383" t="s">
        <v>223</v>
      </c>
      <c r="L383" t="s">
        <v>215</v>
      </c>
      <c r="M383" t="s">
        <v>107</v>
      </c>
      <c r="R383" t="s">
        <v>1714</v>
      </c>
      <c r="W383" t="s">
        <v>1716</v>
      </c>
      <c r="X383" t="s">
        <v>1499</v>
      </c>
      <c r="Y383" t="s">
        <v>207</v>
      </c>
      <c r="Z383" t="s">
        <v>110</v>
      </c>
      <c r="AA383" t="str">
        <f>"11375-2029"</f>
        <v>11375-2029</v>
      </c>
      <c r="AB383" t="s">
        <v>172</v>
      </c>
      <c r="AC383" t="s">
        <v>112</v>
      </c>
      <c r="AD383" t="s">
        <v>107</v>
      </c>
      <c r="AE383" t="s">
        <v>113</v>
      </c>
      <c r="AG383" t="s">
        <v>114</v>
      </c>
    </row>
    <row r="384" spans="1:33" x14ac:dyDescent="0.25">
      <c r="A384" t="str">
        <f>"1902833890"</f>
        <v>1902833890</v>
      </c>
      <c r="B384" t="str">
        <f>"02374436"</f>
        <v>02374436</v>
      </c>
      <c r="C384" t="s">
        <v>1717</v>
      </c>
      <c r="D384" t="s">
        <v>1718</v>
      </c>
      <c r="E384" t="s">
        <v>1719</v>
      </c>
      <c r="G384" t="s">
        <v>221</v>
      </c>
      <c r="H384" t="s">
        <v>222</v>
      </c>
      <c r="I384">
        <v>203</v>
      </c>
      <c r="J384" t="s">
        <v>223</v>
      </c>
      <c r="L384" t="s">
        <v>117</v>
      </c>
      <c r="M384" t="s">
        <v>107</v>
      </c>
      <c r="R384" t="s">
        <v>1717</v>
      </c>
      <c r="W384" t="s">
        <v>1719</v>
      </c>
      <c r="X384" t="s">
        <v>1720</v>
      </c>
      <c r="Y384" t="s">
        <v>325</v>
      </c>
      <c r="Z384" t="s">
        <v>110</v>
      </c>
      <c r="AA384" t="str">
        <f>"10029-4413"</f>
        <v>10029-4413</v>
      </c>
      <c r="AB384" t="s">
        <v>172</v>
      </c>
      <c r="AC384" t="s">
        <v>112</v>
      </c>
      <c r="AD384" t="s">
        <v>107</v>
      </c>
      <c r="AE384" t="s">
        <v>113</v>
      </c>
      <c r="AG384" t="s">
        <v>114</v>
      </c>
    </row>
    <row r="385" spans="1:35" x14ac:dyDescent="0.25">
      <c r="A385" t="str">
        <f>"1558479535"</f>
        <v>1558479535</v>
      </c>
      <c r="B385" t="str">
        <f>"02386538"</f>
        <v>02386538</v>
      </c>
      <c r="C385" t="s">
        <v>1721</v>
      </c>
      <c r="D385" t="s">
        <v>1722</v>
      </c>
      <c r="E385" t="s">
        <v>1723</v>
      </c>
      <c r="G385" t="s">
        <v>221</v>
      </c>
      <c r="H385" t="s">
        <v>222</v>
      </c>
      <c r="I385">
        <v>203</v>
      </c>
      <c r="J385" t="s">
        <v>223</v>
      </c>
      <c r="L385" t="s">
        <v>117</v>
      </c>
      <c r="M385" t="s">
        <v>107</v>
      </c>
      <c r="R385" t="s">
        <v>1721</v>
      </c>
      <c r="W385" t="s">
        <v>1723</v>
      </c>
      <c r="X385" t="s">
        <v>1724</v>
      </c>
      <c r="Y385" t="s">
        <v>325</v>
      </c>
      <c r="Z385" t="s">
        <v>110</v>
      </c>
      <c r="AA385" t="str">
        <f>"10011-8305"</f>
        <v>10011-8305</v>
      </c>
      <c r="AB385" t="s">
        <v>172</v>
      </c>
      <c r="AC385" t="s">
        <v>112</v>
      </c>
      <c r="AD385" t="s">
        <v>107</v>
      </c>
      <c r="AE385" t="s">
        <v>113</v>
      </c>
      <c r="AG385" t="s">
        <v>114</v>
      </c>
    </row>
    <row r="386" spans="1:35" x14ac:dyDescent="0.25">
      <c r="A386" t="str">
        <f>"1487661104"</f>
        <v>1487661104</v>
      </c>
      <c r="B386" t="str">
        <f>"02889054"</f>
        <v>02889054</v>
      </c>
      <c r="C386" t="s">
        <v>1725</v>
      </c>
      <c r="D386" t="s">
        <v>1726</v>
      </c>
      <c r="E386" t="s">
        <v>1727</v>
      </c>
      <c r="G386" t="s">
        <v>221</v>
      </c>
      <c r="H386" t="s">
        <v>222</v>
      </c>
      <c r="I386">
        <v>203</v>
      </c>
      <c r="J386" t="s">
        <v>223</v>
      </c>
      <c r="L386" t="s">
        <v>215</v>
      </c>
      <c r="M386" t="s">
        <v>107</v>
      </c>
      <c r="R386" t="s">
        <v>1725</v>
      </c>
      <c r="W386" t="s">
        <v>1727</v>
      </c>
      <c r="X386" t="s">
        <v>1728</v>
      </c>
      <c r="Y386" t="s">
        <v>1729</v>
      </c>
      <c r="Z386" t="s">
        <v>110</v>
      </c>
      <c r="AA386" t="str">
        <f>"10549-1410"</f>
        <v>10549-1410</v>
      </c>
      <c r="AB386" t="s">
        <v>172</v>
      </c>
      <c r="AC386" t="s">
        <v>112</v>
      </c>
      <c r="AD386" t="s">
        <v>107</v>
      </c>
      <c r="AE386" t="s">
        <v>113</v>
      </c>
      <c r="AG386" t="s">
        <v>114</v>
      </c>
    </row>
    <row r="387" spans="1:35" x14ac:dyDescent="0.25">
      <c r="A387" t="str">
        <f>"1770630337"</f>
        <v>1770630337</v>
      </c>
      <c r="B387" t="str">
        <f>"03349295"</f>
        <v>03349295</v>
      </c>
      <c r="C387" t="s">
        <v>1730</v>
      </c>
      <c r="D387" t="s">
        <v>1731</v>
      </c>
      <c r="E387" t="s">
        <v>1732</v>
      </c>
      <c r="G387" t="s">
        <v>221</v>
      </c>
      <c r="H387" t="s">
        <v>222</v>
      </c>
      <c r="I387">
        <v>203</v>
      </c>
      <c r="J387" t="s">
        <v>223</v>
      </c>
      <c r="L387" t="s">
        <v>106</v>
      </c>
      <c r="M387" t="s">
        <v>107</v>
      </c>
      <c r="R387" t="s">
        <v>1730</v>
      </c>
      <c r="W387" t="s">
        <v>1732</v>
      </c>
      <c r="X387" t="s">
        <v>1733</v>
      </c>
      <c r="Y387" t="s">
        <v>240</v>
      </c>
      <c r="Z387" t="s">
        <v>110</v>
      </c>
      <c r="AA387" t="str">
        <f>"11218-1500"</f>
        <v>11218-1500</v>
      </c>
      <c r="AB387" t="s">
        <v>1734</v>
      </c>
      <c r="AC387" t="s">
        <v>112</v>
      </c>
      <c r="AD387" t="s">
        <v>107</v>
      </c>
      <c r="AE387" t="s">
        <v>113</v>
      </c>
      <c r="AG387" t="s">
        <v>114</v>
      </c>
    </row>
    <row r="388" spans="1:35" x14ac:dyDescent="0.25">
      <c r="A388" t="str">
        <f>"1518999416"</f>
        <v>1518999416</v>
      </c>
      <c r="B388" t="str">
        <f>"02351435"</f>
        <v>02351435</v>
      </c>
      <c r="C388" t="s">
        <v>1735</v>
      </c>
      <c r="D388" t="s">
        <v>1736</v>
      </c>
      <c r="E388" t="s">
        <v>1737</v>
      </c>
      <c r="G388" t="s">
        <v>221</v>
      </c>
      <c r="H388" t="s">
        <v>222</v>
      </c>
      <c r="I388">
        <v>203</v>
      </c>
      <c r="J388" t="s">
        <v>223</v>
      </c>
      <c r="L388" t="s">
        <v>215</v>
      </c>
      <c r="M388" t="s">
        <v>107</v>
      </c>
      <c r="R388" t="s">
        <v>1735</v>
      </c>
      <c r="W388" t="s">
        <v>1737</v>
      </c>
      <c r="X388" t="s">
        <v>311</v>
      </c>
      <c r="Y388" t="s">
        <v>225</v>
      </c>
      <c r="Z388" t="s">
        <v>110</v>
      </c>
      <c r="AA388" t="str">
        <f>"11355-5045"</f>
        <v>11355-5045</v>
      </c>
      <c r="AB388" t="s">
        <v>172</v>
      </c>
      <c r="AC388" t="s">
        <v>112</v>
      </c>
      <c r="AD388" t="s">
        <v>107</v>
      </c>
      <c r="AE388" t="s">
        <v>113</v>
      </c>
      <c r="AG388" t="s">
        <v>114</v>
      </c>
    </row>
    <row r="389" spans="1:35" x14ac:dyDescent="0.25">
      <c r="A389" t="str">
        <f>"1184873531"</f>
        <v>1184873531</v>
      </c>
      <c r="B389" t="str">
        <f>"03738983"</f>
        <v>03738983</v>
      </c>
      <c r="C389" t="s">
        <v>1738</v>
      </c>
      <c r="D389" t="s">
        <v>1739</v>
      </c>
      <c r="E389" t="s">
        <v>1738</v>
      </c>
      <c r="G389" t="s">
        <v>221</v>
      </c>
      <c r="H389" t="s">
        <v>222</v>
      </c>
      <c r="I389">
        <v>203</v>
      </c>
      <c r="J389" t="s">
        <v>223</v>
      </c>
      <c r="L389" t="s">
        <v>117</v>
      </c>
      <c r="M389" t="s">
        <v>107</v>
      </c>
      <c r="R389" t="s">
        <v>1738</v>
      </c>
      <c r="W389" t="s">
        <v>1738</v>
      </c>
      <c r="X389" t="s">
        <v>1740</v>
      </c>
      <c r="Y389" t="s">
        <v>225</v>
      </c>
      <c r="Z389" t="s">
        <v>110</v>
      </c>
      <c r="AA389" t="str">
        <f>"11354-1011"</f>
        <v>11354-1011</v>
      </c>
      <c r="AB389" t="s">
        <v>606</v>
      </c>
      <c r="AC389" t="s">
        <v>112</v>
      </c>
      <c r="AD389" t="s">
        <v>107</v>
      </c>
      <c r="AE389" t="s">
        <v>113</v>
      </c>
      <c r="AG389" t="s">
        <v>114</v>
      </c>
    </row>
    <row r="390" spans="1:35" x14ac:dyDescent="0.25">
      <c r="A390" t="str">
        <f>"1023280526"</f>
        <v>1023280526</v>
      </c>
      <c r="B390" t="str">
        <f>"03189993"</f>
        <v>03189993</v>
      </c>
      <c r="C390" t="s">
        <v>1741</v>
      </c>
      <c r="D390" t="s">
        <v>1742</v>
      </c>
      <c r="E390" t="s">
        <v>1741</v>
      </c>
      <c r="G390" t="s">
        <v>221</v>
      </c>
      <c r="H390" t="s">
        <v>222</v>
      </c>
      <c r="I390">
        <v>203</v>
      </c>
      <c r="J390" t="s">
        <v>223</v>
      </c>
      <c r="L390" t="s">
        <v>215</v>
      </c>
      <c r="M390" t="s">
        <v>107</v>
      </c>
      <c r="R390" t="s">
        <v>1741</v>
      </c>
      <c r="W390" t="s">
        <v>1743</v>
      </c>
      <c r="X390" t="s">
        <v>311</v>
      </c>
      <c r="Y390" t="s">
        <v>225</v>
      </c>
      <c r="Z390" t="s">
        <v>110</v>
      </c>
      <c r="AA390" t="str">
        <f>"11355-5045"</f>
        <v>11355-5045</v>
      </c>
      <c r="AB390" t="s">
        <v>172</v>
      </c>
      <c r="AC390" t="s">
        <v>112</v>
      </c>
      <c r="AD390" t="s">
        <v>107</v>
      </c>
      <c r="AE390" t="s">
        <v>113</v>
      </c>
      <c r="AG390" t="s">
        <v>114</v>
      </c>
    </row>
    <row r="391" spans="1:35" x14ac:dyDescent="0.25">
      <c r="A391" t="str">
        <f>"1023142742"</f>
        <v>1023142742</v>
      </c>
      <c r="B391" t="str">
        <f>"00774718"</f>
        <v>00774718</v>
      </c>
      <c r="C391" t="s">
        <v>1744</v>
      </c>
      <c r="D391" t="s">
        <v>1745</v>
      </c>
      <c r="E391" t="s">
        <v>1746</v>
      </c>
      <c r="G391" t="s">
        <v>221</v>
      </c>
      <c r="H391" t="s">
        <v>222</v>
      </c>
      <c r="I391">
        <v>203</v>
      </c>
      <c r="J391" t="s">
        <v>223</v>
      </c>
      <c r="L391" t="s">
        <v>215</v>
      </c>
      <c r="M391" t="s">
        <v>167</v>
      </c>
      <c r="R391" t="s">
        <v>1744</v>
      </c>
      <c r="W391" t="s">
        <v>1746</v>
      </c>
      <c r="X391" t="s">
        <v>1747</v>
      </c>
      <c r="Y391" t="s">
        <v>1748</v>
      </c>
      <c r="Z391" t="s">
        <v>110</v>
      </c>
      <c r="AA391" t="str">
        <f>"11559-1431"</f>
        <v>11559-1431</v>
      </c>
      <c r="AB391" t="s">
        <v>172</v>
      </c>
      <c r="AC391" t="s">
        <v>112</v>
      </c>
      <c r="AD391" t="s">
        <v>107</v>
      </c>
      <c r="AE391" t="s">
        <v>113</v>
      </c>
      <c r="AG391" t="s">
        <v>114</v>
      </c>
    </row>
    <row r="392" spans="1:35" x14ac:dyDescent="0.25">
      <c r="A392" t="str">
        <f>"1508848532"</f>
        <v>1508848532</v>
      </c>
      <c r="B392" t="str">
        <f>"00374938"</f>
        <v>00374938</v>
      </c>
      <c r="C392" t="s">
        <v>1749</v>
      </c>
      <c r="D392" t="s">
        <v>1750</v>
      </c>
      <c r="E392" t="s">
        <v>1751</v>
      </c>
      <c r="G392" t="s">
        <v>221</v>
      </c>
      <c r="H392" t="s">
        <v>222</v>
      </c>
      <c r="I392">
        <v>203</v>
      </c>
      <c r="J392" t="s">
        <v>223</v>
      </c>
      <c r="L392" t="s">
        <v>373</v>
      </c>
      <c r="M392" t="s">
        <v>107</v>
      </c>
      <c r="R392" t="s">
        <v>1752</v>
      </c>
      <c r="W392" t="s">
        <v>1753</v>
      </c>
      <c r="X392" t="s">
        <v>1754</v>
      </c>
      <c r="Y392" t="s">
        <v>1755</v>
      </c>
      <c r="Z392" t="s">
        <v>110</v>
      </c>
      <c r="AA392" t="str">
        <f>"11542-1943"</f>
        <v>11542-1943</v>
      </c>
      <c r="AB392" t="s">
        <v>1734</v>
      </c>
      <c r="AC392" t="s">
        <v>112</v>
      </c>
      <c r="AD392" t="s">
        <v>107</v>
      </c>
      <c r="AE392" t="s">
        <v>113</v>
      </c>
      <c r="AG392" t="s">
        <v>114</v>
      </c>
      <c r="AI392" t="s">
        <v>376</v>
      </c>
    </row>
    <row r="393" spans="1:35" x14ac:dyDescent="0.25">
      <c r="A393" t="str">
        <f>"1316058233"</f>
        <v>1316058233</v>
      </c>
      <c r="B393" t="str">
        <f>"01650040"</f>
        <v>01650040</v>
      </c>
      <c r="C393" t="s">
        <v>1756</v>
      </c>
      <c r="D393" t="s">
        <v>1757</v>
      </c>
      <c r="E393" t="s">
        <v>1758</v>
      </c>
      <c r="G393" t="s">
        <v>221</v>
      </c>
      <c r="H393" t="s">
        <v>222</v>
      </c>
      <c r="I393">
        <v>203</v>
      </c>
      <c r="J393" t="s">
        <v>223</v>
      </c>
      <c r="L393" t="s">
        <v>117</v>
      </c>
      <c r="M393" t="s">
        <v>107</v>
      </c>
      <c r="R393" t="s">
        <v>1756</v>
      </c>
      <c r="W393" t="s">
        <v>1758</v>
      </c>
      <c r="X393" t="s">
        <v>1759</v>
      </c>
      <c r="Y393" t="s">
        <v>1067</v>
      </c>
      <c r="Z393" t="s">
        <v>110</v>
      </c>
      <c r="AA393" t="str">
        <f>"10601-1712"</f>
        <v>10601-1712</v>
      </c>
      <c r="AB393" t="s">
        <v>172</v>
      </c>
      <c r="AC393" t="s">
        <v>112</v>
      </c>
      <c r="AD393" t="s">
        <v>107</v>
      </c>
      <c r="AE393" t="s">
        <v>113</v>
      </c>
      <c r="AG393" t="s">
        <v>114</v>
      </c>
    </row>
    <row r="394" spans="1:35" x14ac:dyDescent="0.25">
      <c r="A394" t="str">
        <f>"1295711695"</f>
        <v>1295711695</v>
      </c>
      <c r="B394" t="str">
        <f>"01850375"</f>
        <v>01850375</v>
      </c>
      <c r="C394" t="s">
        <v>1760</v>
      </c>
      <c r="D394" t="s">
        <v>1761</v>
      </c>
      <c r="E394" t="s">
        <v>1762</v>
      </c>
      <c r="G394" t="s">
        <v>221</v>
      </c>
      <c r="H394" t="s">
        <v>222</v>
      </c>
      <c r="I394">
        <v>203</v>
      </c>
      <c r="J394" t="s">
        <v>223</v>
      </c>
      <c r="L394" t="s">
        <v>106</v>
      </c>
      <c r="M394" t="s">
        <v>107</v>
      </c>
      <c r="R394" t="s">
        <v>1760</v>
      </c>
      <c r="W394" t="s">
        <v>1763</v>
      </c>
      <c r="X394" t="s">
        <v>1764</v>
      </c>
      <c r="Y394" t="s">
        <v>982</v>
      </c>
      <c r="Z394" t="s">
        <v>110</v>
      </c>
      <c r="AA394" t="str">
        <f>"11423-1942"</f>
        <v>11423-1942</v>
      </c>
      <c r="AB394" t="s">
        <v>172</v>
      </c>
      <c r="AC394" t="s">
        <v>112</v>
      </c>
      <c r="AD394" t="s">
        <v>107</v>
      </c>
      <c r="AE394" t="s">
        <v>113</v>
      </c>
      <c r="AG394" t="s">
        <v>114</v>
      </c>
    </row>
    <row r="395" spans="1:35" x14ac:dyDescent="0.25">
      <c r="A395" t="str">
        <f>"1811903024"</f>
        <v>1811903024</v>
      </c>
      <c r="B395" t="str">
        <f>"01495463"</f>
        <v>01495463</v>
      </c>
      <c r="C395" t="s">
        <v>1765</v>
      </c>
      <c r="D395" t="s">
        <v>1766</v>
      </c>
      <c r="E395" t="s">
        <v>1767</v>
      </c>
      <c r="G395" t="s">
        <v>1393</v>
      </c>
      <c r="H395" t="s">
        <v>1394</v>
      </c>
      <c r="I395">
        <v>2016</v>
      </c>
      <c r="J395" t="s">
        <v>1395</v>
      </c>
      <c r="L395" t="s">
        <v>215</v>
      </c>
      <c r="M395" t="s">
        <v>107</v>
      </c>
      <c r="R395" t="s">
        <v>1765</v>
      </c>
      <c r="W395" t="s">
        <v>1767</v>
      </c>
      <c r="X395" t="s">
        <v>1768</v>
      </c>
      <c r="Y395" t="s">
        <v>235</v>
      </c>
      <c r="Z395" t="s">
        <v>110</v>
      </c>
      <c r="AA395" t="str">
        <f>"11361-2550"</f>
        <v>11361-2550</v>
      </c>
      <c r="AB395" t="s">
        <v>172</v>
      </c>
      <c r="AC395" t="s">
        <v>112</v>
      </c>
      <c r="AD395" t="s">
        <v>107</v>
      </c>
      <c r="AE395" t="s">
        <v>113</v>
      </c>
      <c r="AG395" t="s">
        <v>114</v>
      </c>
    </row>
    <row r="396" spans="1:35" x14ac:dyDescent="0.25">
      <c r="A396" t="str">
        <f>"1285664045"</f>
        <v>1285664045</v>
      </c>
      <c r="B396" t="str">
        <f>"01041372"</f>
        <v>01041372</v>
      </c>
      <c r="C396" t="s">
        <v>1769</v>
      </c>
      <c r="D396" t="s">
        <v>1770</v>
      </c>
      <c r="E396" t="s">
        <v>1771</v>
      </c>
      <c r="G396" t="s">
        <v>1393</v>
      </c>
      <c r="H396" t="s">
        <v>1394</v>
      </c>
      <c r="I396">
        <v>2016</v>
      </c>
      <c r="J396" t="s">
        <v>1395</v>
      </c>
      <c r="L396" t="s">
        <v>166</v>
      </c>
      <c r="M396" t="s">
        <v>167</v>
      </c>
      <c r="R396" t="s">
        <v>1769</v>
      </c>
      <c r="W396" t="s">
        <v>1772</v>
      </c>
      <c r="X396" t="s">
        <v>1773</v>
      </c>
      <c r="Y396" t="s">
        <v>225</v>
      </c>
      <c r="Z396" t="s">
        <v>110</v>
      </c>
      <c r="AA396" t="str">
        <f>"11355-3865"</f>
        <v>11355-3865</v>
      </c>
      <c r="AB396" t="s">
        <v>172</v>
      </c>
      <c r="AC396" t="s">
        <v>112</v>
      </c>
      <c r="AD396" t="s">
        <v>107</v>
      </c>
      <c r="AE396" t="s">
        <v>113</v>
      </c>
      <c r="AG396" t="s">
        <v>114</v>
      </c>
    </row>
    <row r="397" spans="1:35" x14ac:dyDescent="0.25">
      <c r="A397" t="str">
        <f>"1174574248"</f>
        <v>1174574248</v>
      </c>
      <c r="B397" t="str">
        <f>"02065525"</f>
        <v>02065525</v>
      </c>
      <c r="C397" t="s">
        <v>1774</v>
      </c>
      <c r="D397" t="s">
        <v>1775</v>
      </c>
      <c r="E397" t="s">
        <v>1776</v>
      </c>
      <c r="G397" t="s">
        <v>1393</v>
      </c>
      <c r="H397" t="s">
        <v>1394</v>
      </c>
      <c r="I397">
        <v>2016</v>
      </c>
      <c r="J397" t="s">
        <v>1395</v>
      </c>
      <c r="L397" t="s">
        <v>166</v>
      </c>
      <c r="M397" t="s">
        <v>107</v>
      </c>
      <c r="W397" t="s">
        <v>1776</v>
      </c>
      <c r="X397" t="s">
        <v>1777</v>
      </c>
      <c r="Y397" t="s">
        <v>225</v>
      </c>
      <c r="Z397" t="s">
        <v>110</v>
      </c>
      <c r="AA397" t="str">
        <f>"11355-1609"</f>
        <v>11355-1609</v>
      </c>
      <c r="AB397" t="s">
        <v>172</v>
      </c>
      <c r="AC397" t="s">
        <v>112</v>
      </c>
      <c r="AD397" t="s">
        <v>107</v>
      </c>
      <c r="AE397" t="s">
        <v>113</v>
      </c>
      <c r="AG397" t="s">
        <v>114</v>
      </c>
    </row>
    <row r="398" spans="1:35" x14ac:dyDescent="0.25">
      <c r="A398" t="str">
        <f>"1972727295"</f>
        <v>1972727295</v>
      </c>
      <c r="B398" t="str">
        <f>"01299196"</f>
        <v>01299196</v>
      </c>
      <c r="C398" t="s">
        <v>1778</v>
      </c>
      <c r="D398" t="s">
        <v>1779</v>
      </c>
      <c r="E398" t="s">
        <v>1780</v>
      </c>
      <c r="G398" t="s">
        <v>1393</v>
      </c>
      <c r="H398" t="s">
        <v>1394</v>
      </c>
      <c r="I398">
        <v>2016</v>
      </c>
      <c r="J398" t="s">
        <v>1395</v>
      </c>
      <c r="L398" t="s">
        <v>166</v>
      </c>
      <c r="M398" t="s">
        <v>107</v>
      </c>
      <c r="R398" t="s">
        <v>1778</v>
      </c>
      <c r="W398" t="s">
        <v>1781</v>
      </c>
      <c r="X398" t="s">
        <v>506</v>
      </c>
      <c r="Y398" t="s">
        <v>225</v>
      </c>
      <c r="Z398" t="s">
        <v>110</v>
      </c>
      <c r="AA398" t="str">
        <f>"11355-2205"</f>
        <v>11355-2205</v>
      </c>
      <c r="AB398" t="s">
        <v>172</v>
      </c>
      <c r="AC398" t="s">
        <v>112</v>
      </c>
      <c r="AD398" t="s">
        <v>107</v>
      </c>
      <c r="AE398" t="s">
        <v>113</v>
      </c>
      <c r="AG398" t="s">
        <v>114</v>
      </c>
    </row>
    <row r="399" spans="1:35" x14ac:dyDescent="0.25">
      <c r="A399" t="str">
        <f>"1043360944"</f>
        <v>1043360944</v>
      </c>
      <c r="B399" t="str">
        <f>"01411361"</f>
        <v>01411361</v>
      </c>
      <c r="C399" t="s">
        <v>1782</v>
      </c>
      <c r="D399" t="s">
        <v>1783</v>
      </c>
      <c r="E399" t="s">
        <v>1784</v>
      </c>
      <c r="G399" t="s">
        <v>1393</v>
      </c>
      <c r="H399" t="s">
        <v>1394</v>
      </c>
      <c r="I399">
        <v>2016</v>
      </c>
      <c r="J399" t="s">
        <v>1395</v>
      </c>
      <c r="L399" t="s">
        <v>106</v>
      </c>
      <c r="M399" t="s">
        <v>107</v>
      </c>
      <c r="R399" t="s">
        <v>1782</v>
      </c>
      <c r="W399" t="s">
        <v>1784</v>
      </c>
      <c r="X399" t="s">
        <v>1785</v>
      </c>
      <c r="Y399" t="s">
        <v>1678</v>
      </c>
      <c r="Z399" t="s">
        <v>110</v>
      </c>
      <c r="AA399" t="str">
        <f>"11362-2244"</f>
        <v>11362-2244</v>
      </c>
      <c r="AB399" t="s">
        <v>172</v>
      </c>
      <c r="AC399" t="s">
        <v>112</v>
      </c>
      <c r="AD399" t="s">
        <v>107</v>
      </c>
      <c r="AE399" t="s">
        <v>113</v>
      </c>
      <c r="AG399" t="s">
        <v>114</v>
      </c>
    </row>
    <row r="400" spans="1:35" x14ac:dyDescent="0.25">
      <c r="A400" t="str">
        <f>"1922178623"</f>
        <v>1922178623</v>
      </c>
      <c r="B400" t="str">
        <f>"01922430"</f>
        <v>01922430</v>
      </c>
      <c r="C400" t="s">
        <v>1786</v>
      </c>
      <c r="D400" t="s">
        <v>1787</v>
      </c>
      <c r="E400" t="s">
        <v>1788</v>
      </c>
      <c r="G400" t="s">
        <v>195</v>
      </c>
      <c r="H400" t="s">
        <v>196</v>
      </c>
      <c r="J400" t="s">
        <v>197</v>
      </c>
      <c r="L400" t="s">
        <v>166</v>
      </c>
      <c r="M400" t="s">
        <v>167</v>
      </c>
      <c r="R400" t="s">
        <v>1786</v>
      </c>
      <c r="W400" t="s">
        <v>1788</v>
      </c>
      <c r="X400" t="s">
        <v>1789</v>
      </c>
      <c r="Y400" t="s">
        <v>486</v>
      </c>
      <c r="Z400" t="s">
        <v>110</v>
      </c>
      <c r="AA400" t="str">
        <f>"11364-2711"</f>
        <v>11364-2711</v>
      </c>
      <c r="AB400" t="s">
        <v>172</v>
      </c>
      <c r="AC400" t="s">
        <v>112</v>
      </c>
      <c r="AD400" t="s">
        <v>107</v>
      </c>
      <c r="AE400" t="s">
        <v>113</v>
      </c>
      <c r="AG400" t="s">
        <v>114</v>
      </c>
    </row>
    <row r="401" spans="1:33" x14ac:dyDescent="0.25">
      <c r="A401" t="str">
        <f>"1447300330"</f>
        <v>1447300330</v>
      </c>
      <c r="B401" t="str">
        <f>"03206851"</f>
        <v>03206851</v>
      </c>
      <c r="C401" t="s">
        <v>1790</v>
      </c>
      <c r="D401" t="s">
        <v>1791</v>
      </c>
      <c r="E401" t="s">
        <v>1792</v>
      </c>
      <c r="G401" t="s">
        <v>1793</v>
      </c>
      <c r="H401" t="s">
        <v>1794</v>
      </c>
      <c r="J401" t="s">
        <v>1795</v>
      </c>
      <c r="L401" t="s">
        <v>106</v>
      </c>
      <c r="M401" t="s">
        <v>107</v>
      </c>
      <c r="R401" t="s">
        <v>1790</v>
      </c>
      <c r="W401" t="s">
        <v>1796</v>
      </c>
      <c r="X401" t="s">
        <v>1797</v>
      </c>
      <c r="Y401" t="s">
        <v>1253</v>
      </c>
      <c r="Z401" t="s">
        <v>110</v>
      </c>
      <c r="AA401" t="str">
        <f>"11101-4347"</f>
        <v>11101-4347</v>
      </c>
      <c r="AB401" t="s">
        <v>172</v>
      </c>
      <c r="AC401" t="s">
        <v>112</v>
      </c>
      <c r="AD401" t="s">
        <v>107</v>
      </c>
      <c r="AE401" t="s">
        <v>113</v>
      </c>
      <c r="AG401" t="s">
        <v>114</v>
      </c>
    </row>
    <row r="402" spans="1:33" x14ac:dyDescent="0.25">
      <c r="A402" t="str">
        <f>"1396718094"</f>
        <v>1396718094</v>
      </c>
      <c r="B402" t="str">
        <f>"02652380"</f>
        <v>02652380</v>
      </c>
      <c r="C402" t="s">
        <v>1798</v>
      </c>
      <c r="D402" t="s">
        <v>1799</v>
      </c>
      <c r="E402" t="s">
        <v>1800</v>
      </c>
      <c r="G402" t="s">
        <v>1793</v>
      </c>
      <c r="H402" t="s">
        <v>1794</v>
      </c>
      <c r="J402" t="s">
        <v>1795</v>
      </c>
      <c r="L402" t="s">
        <v>106</v>
      </c>
      <c r="M402" t="s">
        <v>107</v>
      </c>
      <c r="R402" t="s">
        <v>1798</v>
      </c>
      <c r="W402" t="s">
        <v>1800</v>
      </c>
      <c r="X402" t="s">
        <v>610</v>
      </c>
      <c r="Y402" t="s">
        <v>240</v>
      </c>
      <c r="Z402" t="s">
        <v>110</v>
      </c>
      <c r="AA402" t="str">
        <f>"11203-2054"</f>
        <v>11203-2054</v>
      </c>
      <c r="AB402" t="s">
        <v>172</v>
      </c>
      <c r="AC402" t="s">
        <v>112</v>
      </c>
      <c r="AD402" t="s">
        <v>107</v>
      </c>
      <c r="AE402" t="s">
        <v>113</v>
      </c>
      <c r="AG402" t="s">
        <v>114</v>
      </c>
    </row>
    <row r="403" spans="1:33" x14ac:dyDescent="0.25">
      <c r="A403" t="str">
        <f>"1558624544"</f>
        <v>1558624544</v>
      </c>
      <c r="B403" t="str">
        <f>"03689076"</f>
        <v>03689076</v>
      </c>
      <c r="C403" t="s">
        <v>1801</v>
      </c>
      <c r="D403" t="s">
        <v>1802</v>
      </c>
      <c r="E403" t="s">
        <v>1803</v>
      </c>
      <c r="G403" t="s">
        <v>1793</v>
      </c>
      <c r="H403" t="s">
        <v>1794</v>
      </c>
      <c r="J403" t="s">
        <v>1795</v>
      </c>
      <c r="L403" t="s">
        <v>106</v>
      </c>
      <c r="M403" t="s">
        <v>107</v>
      </c>
      <c r="R403" t="s">
        <v>1801</v>
      </c>
      <c r="W403" t="s">
        <v>1803</v>
      </c>
      <c r="X403" t="s">
        <v>1797</v>
      </c>
      <c r="Y403" t="s">
        <v>1253</v>
      </c>
      <c r="Z403" t="s">
        <v>110</v>
      </c>
      <c r="AA403" t="str">
        <f>"11101-4347"</f>
        <v>11101-4347</v>
      </c>
      <c r="AB403" t="s">
        <v>172</v>
      </c>
      <c r="AC403" t="s">
        <v>112</v>
      </c>
      <c r="AD403" t="s">
        <v>107</v>
      </c>
      <c r="AE403" t="s">
        <v>113</v>
      </c>
      <c r="AG403" t="s">
        <v>114</v>
      </c>
    </row>
    <row r="404" spans="1:33" x14ac:dyDescent="0.25">
      <c r="A404" t="str">
        <f>"1699840967"</f>
        <v>1699840967</v>
      </c>
      <c r="C404" t="s">
        <v>1804</v>
      </c>
      <c r="G404" t="s">
        <v>1087</v>
      </c>
      <c r="H404" t="s">
        <v>1088</v>
      </c>
      <c r="J404" t="s">
        <v>1089</v>
      </c>
      <c r="K404" t="s">
        <v>1616</v>
      </c>
      <c r="L404" t="s">
        <v>373</v>
      </c>
      <c r="M404" t="s">
        <v>107</v>
      </c>
      <c r="R404" t="s">
        <v>1804</v>
      </c>
      <c r="S404" t="s">
        <v>1805</v>
      </c>
      <c r="T404" t="s">
        <v>325</v>
      </c>
      <c r="U404" t="s">
        <v>110</v>
      </c>
      <c r="V404" t="str">
        <f>"100186553"</f>
        <v>100186553</v>
      </c>
      <c r="AC404" t="s">
        <v>112</v>
      </c>
      <c r="AD404" t="s">
        <v>107</v>
      </c>
      <c r="AE404" t="s">
        <v>278</v>
      </c>
      <c r="AG404" t="s">
        <v>114</v>
      </c>
    </row>
    <row r="405" spans="1:33" x14ac:dyDescent="0.25">
      <c r="A405" t="str">
        <f>"1477556199"</f>
        <v>1477556199</v>
      </c>
      <c r="B405" t="str">
        <f>"01559026"</f>
        <v>01559026</v>
      </c>
      <c r="C405" t="s">
        <v>1806</v>
      </c>
      <c r="D405" t="s">
        <v>1807</v>
      </c>
      <c r="E405" t="s">
        <v>1808</v>
      </c>
      <c r="G405" t="s">
        <v>1087</v>
      </c>
      <c r="H405" t="s">
        <v>1088</v>
      </c>
      <c r="J405" t="s">
        <v>1089</v>
      </c>
      <c r="L405" t="s">
        <v>67</v>
      </c>
      <c r="M405" t="s">
        <v>167</v>
      </c>
      <c r="R405" t="s">
        <v>1809</v>
      </c>
      <c r="W405" t="s">
        <v>1808</v>
      </c>
      <c r="X405" t="s">
        <v>1090</v>
      </c>
      <c r="Y405" t="s">
        <v>325</v>
      </c>
      <c r="Z405" t="s">
        <v>110</v>
      </c>
      <c r="AA405" t="str">
        <f>"10018-6507"</f>
        <v>10018-6507</v>
      </c>
      <c r="AB405" t="s">
        <v>546</v>
      </c>
      <c r="AC405" t="s">
        <v>112</v>
      </c>
      <c r="AD405" t="s">
        <v>107</v>
      </c>
      <c r="AE405" t="s">
        <v>113</v>
      </c>
      <c r="AG405" t="s">
        <v>114</v>
      </c>
    </row>
    <row r="406" spans="1:33" x14ac:dyDescent="0.25">
      <c r="A406" t="str">
        <f>"1508075441"</f>
        <v>1508075441</v>
      </c>
      <c r="B406" t="str">
        <f>"02905273"</f>
        <v>02905273</v>
      </c>
      <c r="C406" t="s">
        <v>1810</v>
      </c>
      <c r="D406" t="s">
        <v>1811</v>
      </c>
      <c r="E406" t="s">
        <v>1812</v>
      </c>
      <c r="G406" t="s">
        <v>212</v>
      </c>
      <c r="H406" t="s">
        <v>213</v>
      </c>
      <c r="J406" t="s">
        <v>214</v>
      </c>
      <c r="L406" t="s">
        <v>166</v>
      </c>
      <c r="M406" t="s">
        <v>167</v>
      </c>
      <c r="R406" t="s">
        <v>1810</v>
      </c>
      <c r="W406" t="s">
        <v>1813</v>
      </c>
      <c r="X406" t="s">
        <v>450</v>
      </c>
      <c r="Y406" t="s">
        <v>325</v>
      </c>
      <c r="Z406" t="s">
        <v>110</v>
      </c>
      <c r="AA406" t="str">
        <f>"10002-2301"</f>
        <v>10002-2301</v>
      </c>
      <c r="AB406" t="s">
        <v>172</v>
      </c>
      <c r="AC406" t="s">
        <v>112</v>
      </c>
      <c r="AD406" t="s">
        <v>107</v>
      </c>
      <c r="AE406" t="s">
        <v>113</v>
      </c>
      <c r="AG406" t="s">
        <v>114</v>
      </c>
    </row>
    <row r="407" spans="1:33" x14ac:dyDescent="0.25">
      <c r="A407" t="str">
        <f>"1275626210"</f>
        <v>1275626210</v>
      </c>
      <c r="B407" t="str">
        <f>"02512605"</f>
        <v>02512605</v>
      </c>
      <c r="C407" t="s">
        <v>1814</v>
      </c>
      <c r="D407" t="s">
        <v>1815</v>
      </c>
      <c r="E407" t="s">
        <v>1816</v>
      </c>
      <c r="G407" t="s">
        <v>394</v>
      </c>
      <c r="H407" t="s">
        <v>395</v>
      </c>
      <c r="J407" t="s">
        <v>396</v>
      </c>
      <c r="L407" t="s">
        <v>215</v>
      </c>
      <c r="M407" t="s">
        <v>107</v>
      </c>
      <c r="R407" t="s">
        <v>1814</v>
      </c>
      <c r="W407" t="s">
        <v>1816</v>
      </c>
      <c r="X407" t="s">
        <v>1817</v>
      </c>
      <c r="Y407" t="s">
        <v>200</v>
      </c>
      <c r="Z407" t="s">
        <v>110</v>
      </c>
      <c r="AA407" t="str">
        <f>"11372"</f>
        <v>11372</v>
      </c>
      <c r="AB407" t="s">
        <v>172</v>
      </c>
      <c r="AC407" t="s">
        <v>112</v>
      </c>
      <c r="AD407" t="s">
        <v>107</v>
      </c>
      <c r="AE407" t="s">
        <v>113</v>
      </c>
      <c r="AG407" t="s">
        <v>114</v>
      </c>
    </row>
    <row r="408" spans="1:33" x14ac:dyDescent="0.25">
      <c r="A408" t="str">
        <f>"1073574398"</f>
        <v>1073574398</v>
      </c>
      <c r="B408" t="str">
        <f>"02355604"</f>
        <v>02355604</v>
      </c>
      <c r="C408" t="s">
        <v>1818</v>
      </c>
      <c r="D408" t="s">
        <v>1819</v>
      </c>
      <c r="E408" t="s">
        <v>1820</v>
      </c>
      <c r="G408" t="s">
        <v>267</v>
      </c>
      <c r="H408" t="s">
        <v>268</v>
      </c>
      <c r="I408">
        <v>4223</v>
      </c>
      <c r="J408" t="s">
        <v>269</v>
      </c>
      <c r="L408" t="s">
        <v>166</v>
      </c>
      <c r="M408" t="s">
        <v>167</v>
      </c>
      <c r="R408" t="s">
        <v>1818</v>
      </c>
      <c r="W408" t="s">
        <v>1820</v>
      </c>
      <c r="X408" t="s">
        <v>1821</v>
      </c>
      <c r="Y408" t="s">
        <v>171</v>
      </c>
      <c r="Z408" t="s">
        <v>110</v>
      </c>
      <c r="AA408" t="str">
        <f>"11373-2344"</f>
        <v>11373-2344</v>
      </c>
      <c r="AB408" t="s">
        <v>172</v>
      </c>
      <c r="AC408" t="s">
        <v>112</v>
      </c>
      <c r="AD408" t="s">
        <v>107</v>
      </c>
      <c r="AE408" t="s">
        <v>113</v>
      </c>
      <c r="AG408" t="s">
        <v>114</v>
      </c>
    </row>
    <row r="409" spans="1:33" x14ac:dyDescent="0.25">
      <c r="A409" t="str">
        <f>"1790918613"</f>
        <v>1790918613</v>
      </c>
      <c r="B409" t="str">
        <f>"03255685"</f>
        <v>03255685</v>
      </c>
      <c r="C409" t="s">
        <v>1822</v>
      </c>
      <c r="D409" t="s">
        <v>1823</v>
      </c>
      <c r="E409" t="s">
        <v>1822</v>
      </c>
      <c r="G409" t="s">
        <v>212</v>
      </c>
      <c r="H409" t="s">
        <v>213</v>
      </c>
      <c r="J409" t="s">
        <v>214</v>
      </c>
      <c r="L409" t="s">
        <v>166</v>
      </c>
      <c r="M409" t="s">
        <v>167</v>
      </c>
      <c r="R409" t="s">
        <v>1822</v>
      </c>
      <c r="W409" t="s">
        <v>1822</v>
      </c>
      <c r="X409" t="s">
        <v>450</v>
      </c>
      <c r="Y409" t="s">
        <v>325</v>
      </c>
      <c r="Z409" t="s">
        <v>110</v>
      </c>
      <c r="AA409" t="str">
        <f>"10002-2301"</f>
        <v>10002-2301</v>
      </c>
      <c r="AB409" t="s">
        <v>172</v>
      </c>
      <c r="AC409" t="s">
        <v>112</v>
      </c>
      <c r="AD409" t="s">
        <v>107</v>
      </c>
      <c r="AE409" t="s">
        <v>113</v>
      </c>
      <c r="AG409" t="s">
        <v>114</v>
      </c>
    </row>
    <row r="410" spans="1:33" x14ac:dyDescent="0.25">
      <c r="A410" t="str">
        <f>"1457442956"</f>
        <v>1457442956</v>
      </c>
      <c r="B410" t="str">
        <f>"01727215"</f>
        <v>01727215</v>
      </c>
      <c r="C410" t="s">
        <v>1824</v>
      </c>
      <c r="D410" t="s">
        <v>1825</v>
      </c>
      <c r="E410" t="s">
        <v>1826</v>
      </c>
      <c r="G410" t="s">
        <v>736</v>
      </c>
      <c r="H410" t="s">
        <v>737</v>
      </c>
      <c r="I410">
        <v>1108</v>
      </c>
      <c r="J410" t="s">
        <v>738</v>
      </c>
      <c r="L410" t="s">
        <v>166</v>
      </c>
      <c r="M410" t="s">
        <v>107</v>
      </c>
      <c r="R410" t="s">
        <v>1824</v>
      </c>
      <c r="W410" t="s">
        <v>1826</v>
      </c>
      <c r="X410" t="s">
        <v>1827</v>
      </c>
      <c r="Y410" t="s">
        <v>225</v>
      </c>
      <c r="Z410" t="s">
        <v>110</v>
      </c>
      <c r="AA410" t="str">
        <f>"11355-2629"</f>
        <v>11355-2629</v>
      </c>
      <c r="AB410" t="s">
        <v>172</v>
      </c>
      <c r="AC410" t="s">
        <v>112</v>
      </c>
      <c r="AD410" t="s">
        <v>107</v>
      </c>
      <c r="AE410" t="s">
        <v>113</v>
      </c>
      <c r="AG410" t="s">
        <v>114</v>
      </c>
    </row>
    <row r="411" spans="1:33" x14ac:dyDescent="0.25">
      <c r="A411" t="str">
        <f>"1275868994"</f>
        <v>1275868994</v>
      </c>
      <c r="B411" t="str">
        <f>"03506970"</f>
        <v>03506970</v>
      </c>
      <c r="C411" t="s">
        <v>1828</v>
      </c>
      <c r="D411" t="s">
        <v>1829</v>
      </c>
      <c r="E411" t="s">
        <v>1830</v>
      </c>
      <c r="G411" t="s">
        <v>412</v>
      </c>
      <c r="H411" t="s">
        <v>413</v>
      </c>
      <c r="J411" t="s">
        <v>414</v>
      </c>
      <c r="L411" t="s">
        <v>166</v>
      </c>
      <c r="M411" t="s">
        <v>167</v>
      </c>
      <c r="R411" t="s">
        <v>1828</v>
      </c>
      <c r="W411" t="s">
        <v>1830</v>
      </c>
      <c r="X411" t="s">
        <v>1831</v>
      </c>
      <c r="Y411" t="s">
        <v>1424</v>
      </c>
      <c r="Z411" t="s">
        <v>110</v>
      </c>
      <c r="AA411" t="str">
        <f>"12208-1963"</f>
        <v>12208-1963</v>
      </c>
      <c r="AB411" t="s">
        <v>172</v>
      </c>
      <c r="AC411" t="s">
        <v>112</v>
      </c>
      <c r="AD411" t="s">
        <v>107</v>
      </c>
      <c r="AE411" t="s">
        <v>113</v>
      </c>
      <c r="AG411" t="s">
        <v>114</v>
      </c>
    </row>
    <row r="412" spans="1:33" x14ac:dyDescent="0.25">
      <c r="A412" t="str">
        <f>"1306120936"</f>
        <v>1306120936</v>
      </c>
      <c r="B412" t="str">
        <f>"03404400"</f>
        <v>03404400</v>
      </c>
      <c r="C412" t="s">
        <v>1832</v>
      </c>
      <c r="D412" t="s">
        <v>1833</v>
      </c>
      <c r="E412" t="s">
        <v>1834</v>
      </c>
      <c r="G412" t="s">
        <v>212</v>
      </c>
      <c r="H412" t="s">
        <v>213</v>
      </c>
      <c r="J412" t="s">
        <v>214</v>
      </c>
      <c r="L412" t="s">
        <v>215</v>
      </c>
      <c r="M412" t="s">
        <v>167</v>
      </c>
      <c r="R412" t="s">
        <v>1832</v>
      </c>
      <c r="W412" t="s">
        <v>1834</v>
      </c>
      <c r="X412" t="s">
        <v>1835</v>
      </c>
      <c r="Y412" t="s">
        <v>240</v>
      </c>
      <c r="Z412" t="s">
        <v>110</v>
      </c>
      <c r="AA412" t="str">
        <f>"11206-2501"</f>
        <v>11206-2501</v>
      </c>
      <c r="AB412" t="s">
        <v>172</v>
      </c>
      <c r="AC412" t="s">
        <v>112</v>
      </c>
      <c r="AD412" t="s">
        <v>107</v>
      </c>
      <c r="AE412" t="s">
        <v>113</v>
      </c>
      <c r="AG412" t="s">
        <v>114</v>
      </c>
    </row>
    <row r="413" spans="1:33" x14ac:dyDescent="0.25">
      <c r="A413" t="str">
        <f>"1447386370"</f>
        <v>1447386370</v>
      </c>
      <c r="B413" t="str">
        <f>"03020555"</f>
        <v>03020555</v>
      </c>
      <c r="C413" t="s">
        <v>1836</v>
      </c>
      <c r="D413" t="s">
        <v>1837</v>
      </c>
      <c r="E413" t="s">
        <v>1836</v>
      </c>
      <c r="G413" t="s">
        <v>273</v>
      </c>
      <c r="H413" t="s">
        <v>274</v>
      </c>
      <c r="J413" t="s">
        <v>275</v>
      </c>
      <c r="L413" t="s">
        <v>117</v>
      </c>
      <c r="M413" t="s">
        <v>107</v>
      </c>
      <c r="R413" t="s">
        <v>1836</v>
      </c>
      <c r="W413" t="s">
        <v>1836</v>
      </c>
      <c r="X413" t="s">
        <v>1838</v>
      </c>
      <c r="Y413" t="s">
        <v>325</v>
      </c>
      <c r="Z413" t="s">
        <v>110</v>
      </c>
      <c r="AA413" t="str">
        <f>"10029-2117"</f>
        <v>10029-2117</v>
      </c>
      <c r="AB413" t="s">
        <v>111</v>
      </c>
      <c r="AC413" t="s">
        <v>112</v>
      </c>
      <c r="AD413" t="s">
        <v>107</v>
      </c>
      <c r="AE413" t="s">
        <v>113</v>
      </c>
      <c r="AG413" t="s">
        <v>114</v>
      </c>
    </row>
    <row r="414" spans="1:33" x14ac:dyDescent="0.25">
      <c r="B414" t="str">
        <f>"03173113"</f>
        <v>03173113</v>
      </c>
      <c r="C414" t="s">
        <v>1839</v>
      </c>
      <c r="D414" t="s">
        <v>1840</v>
      </c>
      <c r="E414" t="s">
        <v>1839</v>
      </c>
      <c r="G414" t="s">
        <v>1841</v>
      </c>
      <c r="H414" t="s">
        <v>767</v>
      </c>
      <c r="J414" t="s">
        <v>768</v>
      </c>
      <c r="L414" t="s">
        <v>373</v>
      </c>
      <c r="M414" t="s">
        <v>107</v>
      </c>
      <c r="W414" t="s">
        <v>1839</v>
      </c>
      <c r="X414" t="s">
        <v>1842</v>
      </c>
      <c r="Y414" t="s">
        <v>240</v>
      </c>
      <c r="Z414" t="s">
        <v>110</v>
      </c>
      <c r="AA414" t="str">
        <f>"11220-4753"</f>
        <v>11220-4753</v>
      </c>
      <c r="AB414" t="s">
        <v>1843</v>
      </c>
      <c r="AC414" t="s">
        <v>112</v>
      </c>
      <c r="AD414" t="s">
        <v>107</v>
      </c>
      <c r="AE414" t="s">
        <v>113</v>
      </c>
      <c r="AG414" t="s">
        <v>114</v>
      </c>
    </row>
    <row r="415" spans="1:33" x14ac:dyDescent="0.25">
      <c r="A415" t="str">
        <f>"1427499391"</f>
        <v>1427499391</v>
      </c>
      <c r="C415" t="s">
        <v>1844</v>
      </c>
      <c r="G415" t="s">
        <v>1845</v>
      </c>
      <c r="H415" t="s">
        <v>1846</v>
      </c>
      <c r="I415">
        <v>226</v>
      </c>
      <c r="J415" t="s">
        <v>1847</v>
      </c>
      <c r="K415" t="s">
        <v>1616</v>
      </c>
      <c r="L415" t="s">
        <v>373</v>
      </c>
      <c r="M415" t="s">
        <v>107</v>
      </c>
      <c r="R415" t="s">
        <v>1848</v>
      </c>
      <c r="S415" t="s">
        <v>1849</v>
      </c>
      <c r="T415" t="s">
        <v>240</v>
      </c>
      <c r="U415" t="s">
        <v>110</v>
      </c>
      <c r="V415" t="str">
        <f>"112301581"</f>
        <v>112301581</v>
      </c>
      <c r="AC415" t="s">
        <v>112</v>
      </c>
      <c r="AD415" t="s">
        <v>107</v>
      </c>
      <c r="AE415" t="s">
        <v>278</v>
      </c>
      <c r="AG415" t="s">
        <v>114</v>
      </c>
    </row>
    <row r="416" spans="1:33" x14ac:dyDescent="0.25">
      <c r="A416" t="str">
        <f>"1609909910"</f>
        <v>1609909910</v>
      </c>
      <c r="B416" t="str">
        <f>"02772338"</f>
        <v>02772338</v>
      </c>
      <c r="C416" t="s">
        <v>1850</v>
      </c>
      <c r="D416" t="s">
        <v>1851</v>
      </c>
      <c r="E416" t="s">
        <v>1852</v>
      </c>
      <c r="G416" t="s">
        <v>1163</v>
      </c>
      <c r="H416" t="s">
        <v>1164</v>
      </c>
      <c r="I416">
        <v>202</v>
      </c>
      <c r="J416" t="s">
        <v>1165</v>
      </c>
      <c r="L416" t="s">
        <v>14</v>
      </c>
      <c r="M416" t="s">
        <v>167</v>
      </c>
      <c r="R416" t="s">
        <v>1853</v>
      </c>
      <c r="W416" t="s">
        <v>1852</v>
      </c>
      <c r="X416" t="s">
        <v>1854</v>
      </c>
      <c r="Y416" t="s">
        <v>1206</v>
      </c>
      <c r="Z416" t="s">
        <v>110</v>
      </c>
      <c r="AA416" t="str">
        <f>"11368-1236"</f>
        <v>11368-1236</v>
      </c>
      <c r="AB416" t="s">
        <v>191</v>
      </c>
      <c r="AC416" t="s">
        <v>112</v>
      </c>
      <c r="AD416" t="s">
        <v>107</v>
      </c>
      <c r="AE416" t="s">
        <v>113</v>
      </c>
      <c r="AG416" t="s">
        <v>114</v>
      </c>
    </row>
    <row r="417" spans="1:33" x14ac:dyDescent="0.25">
      <c r="C417" t="s">
        <v>1850</v>
      </c>
      <c r="G417" t="s">
        <v>1163</v>
      </c>
      <c r="H417" t="s">
        <v>1164</v>
      </c>
      <c r="I417">
        <v>202</v>
      </c>
      <c r="J417" t="s">
        <v>1165</v>
      </c>
      <c r="K417" t="s">
        <v>1855</v>
      </c>
      <c r="L417" t="s">
        <v>711</v>
      </c>
      <c r="M417" t="s">
        <v>107</v>
      </c>
      <c r="N417" t="s">
        <v>1856</v>
      </c>
      <c r="O417" t="s">
        <v>1857</v>
      </c>
      <c r="P417" t="s">
        <v>110</v>
      </c>
      <c r="Q417" t="str">
        <f>"11368"</f>
        <v>11368</v>
      </c>
      <c r="AC417" t="s">
        <v>112</v>
      </c>
      <c r="AD417" t="s">
        <v>107</v>
      </c>
      <c r="AE417" t="s">
        <v>713</v>
      </c>
      <c r="AG417" t="s">
        <v>114</v>
      </c>
    </row>
    <row r="418" spans="1:33" x14ac:dyDescent="0.25">
      <c r="A418" t="str">
        <f>"1306918685"</f>
        <v>1306918685</v>
      </c>
      <c r="B418" t="str">
        <f>"02995100"</f>
        <v>02995100</v>
      </c>
      <c r="C418" t="s">
        <v>1858</v>
      </c>
      <c r="D418" t="s">
        <v>1859</v>
      </c>
      <c r="E418" t="s">
        <v>1860</v>
      </c>
      <c r="G418" t="s">
        <v>465</v>
      </c>
      <c r="H418" t="s">
        <v>466</v>
      </c>
      <c r="J418" t="s">
        <v>467</v>
      </c>
      <c r="L418" t="s">
        <v>405</v>
      </c>
      <c r="M418" t="s">
        <v>167</v>
      </c>
      <c r="R418" t="s">
        <v>1861</v>
      </c>
      <c r="W418" t="s">
        <v>1861</v>
      </c>
      <c r="X418" t="s">
        <v>1862</v>
      </c>
      <c r="Y418" t="s">
        <v>880</v>
      </c>
      <c r="Z418" t="s">
        <v>110</v>
      </c>
      <c r="AA418" t="str">
        <f>"11369-1305"</f>
        <v>11369-1305</v>
      </c>
      <c r="AB418" t="s">
        <v>408</v>
      </c>
      <c r="AC418" t="s">
        <v>112</v>
      </c>
      <c r="AD418" t="s">
        <v>107</v>
      </c>
      <c r="AE418" t="s">
        <v>113</v>
      </c>
      <c r="AG418" t="s">
        <v>114</v>
      </c>
    </row>
    <row r="419" spans="1:33" x14ac:dyDescent="0.25">
      <c r="B419" t="str">
        <f>"02256031"</f>
        <v>02256031</v>
      </c>
      <c r="C419" t="s">
        <v>1863</v>
      </c>
      <c r="D419" t="s">
        <v>1864</v>
      </c>
      <c r="E419" t="s">
        <v>1865</v>
      </c>
      <c r="G419" t="s">
        <v>1866</v>
      </c>
      <c r="H419" t="s">
        <v>1867</v>
      </c>
      <c r="J419" t="s">
        <v>1868</v>
      </c>
      <c r="L419" t="s">
        <v>67</v>
      </c>
      <c r="M419" t="s">
        <v>167</v>
      </c>
      <c r="W419" t="s">
        <v>1863</v>
      </c>
      <c r="X419" t="s">
        <v>1869</v>
      </c>
      <c r="Y419" t="s">
        <v>325</v>
      </c>
      <c r="Z419" t="s">
        <v>110</v>
      </c>
      <c r="AA419" t="str">
        <f>"10003-2332"</f>
        <v>10003-2332</v>
      </c>
      <c r="AB419" t="s">
        <v>546</v>
      </c>
      <c r="AC419" t="s">
        <v>112</v>
      </c>
      <c r="AD419" t="s">
        <v>107</v>
      </c>
      <c r="AE419" t="s">
        <v>113</v>
      </c>
      <c r="AG419" t="s">
        <v>114</v>
      </c>
    </row>
    <row r="420" spans="1:33" x14ac:dyDescent="0.25">
      <c r="A420" t="str">
        <f>"1801993753"</f>
        <v>1801993753</v>
      </c>
      <c r="B420" t="str">
        <f>"02997395"</f>
        <v>02997395</v>
      </c>
      <c r="C420" t="s">
        <v>1870</v>
      </c>
      <c r="D420" t="s">
        <v>1864</v>
      </c>
      <c r="E420" t="s">
        <v>1865</v>
      </c>
      <c r="G420" t="s">
        <v>1866</v>
      </c>
      <c r="H420" t="s">
        <v>1867</v>
      </c>
      <c r="J420" t="s">
        <v>1868</v>
      </c>
      <c r="L420" t="s">
        <v>67</v>
      </c>
      <c r="M420" t="s">
        <v>167</v>
      </c>
      <c r="R420" t="s">
        <v>1871</v>
      </c>
      <c r="W420" t="s">
        <v>1863</v>
      </c>
      <c r="X420" t="s">
        <v>1872</v>
      </c>
      <c r="Y420" t="s">
        <v>240</v>
      </c>
      <c r="Z420" t="s">
        <v>110</v>
      </c>
      <c r="AA420" t="str">
        <f>"11201-3818"</f>
        <v>11201-3818</v>
      </c>
      <c r="AB420" t="s">
        <v>546</v>
      </c>
      <c r="AC420" t="s">
        <v>112</v>
      </c>
      <c r="AD420" t="s">
        <v>107</v>
      </c>
      <c r="AE420" t="s">
        <v>113</v>
      </c>
      <c r="AG420" t="s">
        <v>114</v>
      </c>
    </row>
    <row r="421" spans="1:33" x14ac:dyDescent="0.25">
      <c r="A421" t="str">
        <f>"1962728071"</f>
        <v>1962728071</v>
      </c>
      <c r="B421" t="str">
        <f>"03335971"</f>
        <v>03335971</v>
      </c>
      <c r="C421" t="s">
        <v>1873</v>
      </c>
      <c r="D421" t="s">
        <v>1874</v>
      </c>
      <c r="E421" t="s">
        <v>1875</v>
      </c>
      <c r="G421" t="s">
        <v>229</v>
      </c>
      <c r="H421" t="s">
        <v>230</v>
      </c>
      <c r="J421" t="s">
        <v>231</v>
      </c>
      <c r="L421" t="s">
        <v>67</v>
      </c>
      <c r="M421" t="s">
        <v>167</v>
      </c>
      <c r="R421" t="s">
        <v>1875</v>
      </c>
      <c r="W421" t="s">
        <v>1875</v>
      </c>
      <c r="X421" t="s">
        <v>1043</v>
      </c>
      <c r="Y421" t="s">
        <v>399</v>
      </c>
      <c r="Z421" t="s">
        <v>110</v>
      </c>
      <c r="AA421" t="str">
        <f>"11042-1109"</f>
        <v>11042-1109</v>
      </c>
      <c r="AB421" t="s">
        <v>546</v>
      </c>
      <c r="AC421" t="s">
        <v>112</v>
      </c>
      <c r="AD421" t="s">
        <v>107</v>
      </c>
      <c r="AE421" t="s">
        <v>113</v>
      </c>
      <c r="AG421" t="s">
        <v>114</v>
      </c>
    </row>
    <row r="422" spans="1:33" x14ac:dyDescent="0.25">
      <c r="B422" t="str">
        <f>"00942461"</f>
        <v>00942461</v>
      </c>
      <c r="C422" t="s">
        <v>1876</v>
      </c>
      <c r="D422" t="s">
        <v>1877</v>
      </c>
      <c r="E422" t="s">
        <v>1878</v>
      </c>
      <c r="G422" t="s">
        <v>1248</v>
      </c>
      <c r="H422" t="s">
        <v>1249</v>
      </c>
      <c r="I422">
        <v>216</v>
      </c>
      <c r="J422" t="s">
        <v>1250</v>
      </c>
      <c r="L422" t="s">
        <v>405</v>
      </c>
      <c r="M422" t="s">
        <v>167</v>
      </c>
      <c r="W422" t="s">
        <v>1876</v>
      </c>
      <c r="X422" t="s">
        <v>1879</v>
      </c>
      <c r="Y422" t="s">
        <v>207</v>
      </c>
      <c r="Z422" t="s">
        <v>110</v>
      </c>
      <c r="AA422" t="str">
        <f>"11375"</f>
        <v>11375</v>
      </c>
      <c r="AB422" t="s">
        <v>408</v>
      </c>
      <c r="AC422" t="s">
        <v>112</v>
      </c>
      <c r="AD422" t="s">
        <v>107</v>
      </c>
      <c r="AE422" t="s">
        <v>113</v>
      </c>
      <c r="AG422" t="s">
        <v>114</v>
      </c>
    </row>
    <row r="423" spans="1:33" x14ac:dyDescent="0.25">
      <c r="A423" t="str">
        <f>"1649351214"</f>
        <v>1649351214</v>
      </c>
      <c r="B423" t="str">
        <f>"01593017"</f>
        <v>01593017</v>
      </c>
      <c r="C423" t="s">
        <v>1880</v>
      </c>
      <c r="D423" t="s">
        <v>1881</v>
      </c>
      <c r="E423" t="s">
        <v>1882</v>
      </c>
      <c r="G423" t="s">
        <v>402</v>
      </c>
      <c r="H423" t="s">
        <v>403</v>
      </c>
      <c r="J423" t="s">
        <v>404</v>
      </c>
      <c r="L423" t="s">
        <v>166</v>
      </c>
      <c r="M423" t="s">
        <v>107</v>
      </c>
      <c r="R423" t="s">
        <v>1880</v>
      </c>
      <c r="W423" t="s">
        <v>1882</v>
      </c>
      <c r="X423" t="s">
        <v>1883</v>
      </c>
      <c r="Y423" t="s">
        <v>1001</v>
      </c>
      <c r="Z423" t="s">
        <v>110</v>
      </c>
      <c r="AA423" t="str">
        <f>"11691-4423"</f>
        <v>11691-4423</v>
      </c>
      <c r="AB423" t="s">
        <v>172</v>
      </c>
      <c r="AC423" t="s">
        <v>112</v>
      </c>
      <c r="AD423" t="s">
        <v>107</v>
      </c>
      <c r="AE423" t="s">
        <v>113</v>
      </c>
      <c r="AG423" t="s">
        <v>114</v>
      </c>
    </row>
    <row r="424" spans="1:33" x14ac:dyDescent="0.25">
      <c r="A424" t="str">
        <f>"1770531873"</f>
        <v>1770531873</v>
      </c>
      <c r="B424" t="str">
        <f>"02184370"</f>
        <v>02184370</v>
      </c>
      <c r="C424" t="s">
        <v>1884</v>
      </c>
      <c r="D424" t="s">
        <v>1885</v>
      </c>
      <c r="E424" t="s">
        <v>1886</v>
      </c>
      <c r="G424" t="s">
        <v>176</v>
      </c>
      <c r="H424" t="s">
        <v>177</v>
      </c>
      <c r="I424">
        <v>3264</v>
      </c>
      <c r="J424" t="s">
        <v>178</v>
      </c>
      <c r="L424" t="s">
        <v>166</v>
      </c>
      <c r="M424" t="s">
        <v>107</v>
      </c>
      <c r="R424" t="s">
        <v>1884</v>
      </c>
      <c r="W424" t="s">
        <v>1886</v>
      </c>
      <c r="X424" t="s">
        <v>1887</v>
      </c>
      <c r="Y424" t="s">
        <v>240</v>
      </c>
      <c r="Z424" t="s">
        <v>110</v>
      </c>
      <c r="AA424" t="str">
        <f>"11216-2522"</f>
        <v>11216-2522</v>
      </c>
      <c r="AB424" t="s">
        <v>172</v>
      </c>
      <c r="AC424" t="s">
        <v>112</v>
      </c>
      <c r="AD424" t="s">
        <v>107</v>
      </c>
      <c r="AE424" t="s">
        <v>113</v>
      </c>
      <c r="AG424" t="s">
        <v>114</v>
      </c>
    </row>
    <row r="425" spans="1:33" x14ac:dyDescent="0.25">
      <c r="A425" t="str">
        <f>"1457582868"</f>
        <v>1457582868</v>
      </c>
      <c r="B425" t="str">
        <f>"03137111"</f>
        <v>03137111</v>
      </c>
      <c r="C425" t="s">
        <v>1888</v>
      </c>
      <c r="D425" t="s">
        <v>1889</v>
      </c>
      <c r="E425" t="s">
        <v>1890</v>
      </c>
      <c r="G425" t="s">
        <v>212</v>
      </c>
      <c r="H425" t="s">
        <v>213</v>
      </c>
      <c r="J425" t="s">
        <v>214</v>
      </c>
      <c r="L425" t="s">
        <v>166</v>
      </c>
      <c r="M425" t="s">
        <v>167</v>
      </c>
      <c r="R425" t="s">
        <v>1888</v>
      </c>
      <c r="W425" t="s">
        <v>1891</v>
      </c>
      <c r="X425" t="s">
        <v>1892</v>
      </c>
      <c r="Y425" t="s">
        <v>240</v>
      </c>
      <c r="Z425" t="s">
        <v>110</v>
      </c>
      <c r="AA425" t="str">
        <f>"12205-2505"</f>
        <v>12205-2505</v>
      </c>
      <c r="AB425" t="s">
        <v>172</v>
      </c>
      <c r="AC425" t="s">
        <v>112</v>
      </c>
      <c r="AD425" t="s">
        <v>107</v>
      </c>
      <c r="AE425" t="s">
        <v>113</v>
      </c>
      <c r="AG425" t="s">
        <v>114</v>
      </c>
    </row>
    <row r="426" spans="1:33" x14ac:dyDescent="0.25">
      <c r="A426" t="str">
        <f>"1518911239"</f>
        <v>1518911239</v>
      </c>
      <c r="B426" t="str">
        <f>"02103620"</f>
        <v>02103620</v>
      </c>
      <c r="C426" t="s">
        <v>1893</v>
      </c>
      <c r="D426" t="s">
        <v>1894</v>
      </c>
      <c r="E426" t="s">
        <v>1895</v>
      </c>
      <c r="G426" t="s">
        <v>1248</v>
      </c>
      <c r="H426" t="s">
        <v>1249</v>
      </c>
      <c r="I426">
        <v>216</v>
      </c>
      <c r="J426" t="s">
        <v>1250</v>
      </c>
      <c r="L426" t="s">
        <v>166</v>
      </c>
      <c r="M426" t="s">
        <v>167</v>
      </c>
      <c r="R426" t="s">
        <v>1893</v>
      </c>
      <c r="W426" t="s">
        <v>1895</v>
      </c>
      <c r="X426" t="s">
        <v>1896</v>
      </c>
      <c r="Y426" t="s">
        <v>325</v>
      </c>
      <c r="Z426" t="s">
        <v>110</v>
      </c>
      <c r="AA426" t="str">
        <f>"10038-2612"</f>
        <v>10038-2612</v>
      </c>
      <c r="AB426" t="s">
        <v>172</v>
      </c>
      <c r="AC426" t="s">
        <v>112</v>
      </c>
      <c r="AD426" t="s">
        <v>107</v>
      </c>
      <c r="AE426" t="s">
        <v>113</v>
      </c>
      <c r="AG426" t="s">
        <v>114</v>
      </c>
    </row>
    <row r="427" spans="1:33" x14ac:dyDescent="0.25">
      <c r="A427" t="str">
        <f>"1033272257"</f>
        <v>1033272257</v>
      </c>
      <c r="B427" t="str">
        <f>"03547880"</f>
        <v>03547880</v>
      </c>
      <c r="C427" t="s">
        <v>1897</v>
      </c>
      <c r="D427" t="s">
        <v>1898</v>
      </c>
      <c r="E427" t="s">
        <v>1899</v>
      </c>
      <c r="G427" t="s">
        <v>1248</v>
      </c>
      <c r="H427" t="s">
        <v>1249</v>
      </c>
      <c r="I427">
        <v>216</v>
      </c>
      <c r="J427" t="s">
        <v>1250</v>
      </c>
      <c r="L427" t="s">
        <v>166</v>
      </c>
      <c r="M427" t="s">
        <v>107</v>
      </c>
      <c r="R427" t="s">
        <v>1897</v>
      </c>
      <c r="W427" t="s">
        <v>1899</v>
      </c>
      <c r="X427" t="s">
        <v>1900</v>
      </c>
      <c r="Y427" t="s">
        <v>626</v>
      </c>
      <c r="Z427" t="s">
        <v>110</v>
      </c>
      <c r="AA427" t="str">
        <f>"11102-2448"</f>
        <v>11102-2448</v>
      </c>
      <c r="AB427" t="s">
        <v>208</v>
      </c>
      <c r="AC427" t="s">
        <v>112</v>
      </c>
      <c r="AD427" t="s">
        <v>107</v>
      </c>
      <c r="AE427" t="s">
        <v>113</v>
      </c>
      <c r="AG427" t="s">
        <v>114</v>
      </c>
    </row>
    <row r="428" spans="1:33" x14ac:dyDescent="0.25">
      <c r="A428" t="str">
        <f>"1508846965"</f>
        <v>1508846965</v>
      </c>
      <c r="B428" t="str">
        <f>"00684735"</f>
        <v>00684735</v>
      </c>
      <c r="C428" t="s">
        <v>1901</v>
      </c>
      <c r="D428" t="s">
        <v>1902</v>
      </c>
      <c r="E428" t="s">
        <v>1903</v>
      </c>
      <c r="G428" t="s">
        <v>1248</v>
      </c>
      <c r="H428" t="s">
        <v>1249</v>
      </c>
      <c r="I428">
        <v>216</v>
      </c>
      <c r="J428" t="s">
        <v>1250</v>
      </c>
      <c r="L428" t="s">
        <v>106</v>
      </c>
      <c r="M428" t="s">
        <v>107</v>
      </c>
      <c r="R428" t="s">
        <v>1901</v>
      </c>
      <c r="W428" t="s">
        <v>1903</v>
      </c>
      <c r="X428" t="s">
        <v>1904</v>
      </c>
      <c r="Y428" t="s">
        <v>171</v>
      </c>
      <c r="Z428" t="s">
        <v>110</v>
      </c>
      <c r="AA428" t="str">
        <f>"11373-5156"</f>
        <v>11373-5156</v>
      </c>
      <c r="AB428" t="s">
        <v>462</v>
      </c>
      <c r="AC428" t="s">
        <v>112</v>
      </c>
      <c r="AD428" t="s">
        <v>107</v>
      </c>
      <c r="AE428" t="s">
        <v>113</v>
      </c>
      <c r="AG428" t="s">
        <v>114</v>
      </c>
    </row>
    <row r="429" spans="1:33" x14ac:dyDescent="0.25">
      <c r="A429" t="str">
        <f>"1154349447"</f>
        <v>1154349447</v>
      </c>
      <c r="B429" t="str">
        <f>"01740596"</f>
        <v>01740596</v>
      </c>
      <c r="C429" t="s">
        <v>1905</v>
      </c>
      <c r="D429" t="s">
        <v>1906</v>
      </c>
      <c r="E429" t="s">
        <v>1907</v>
      </c>
      <c r="G429" t="s">
        <v>1908</v>
      </c>
      <c r="H429" t="s">
        <v>1276</v>
      </c>
      <c r="I429">
        <v>3132</v>
      </c>
      <c r="J429" t="s">
        <v>1909</v>
      </c>
      <c r="L429" t="s">
        <v>166</v>
      </c>
      <c r="M429" t="s">
        <v>167</v>
      </c>
      <c r="R429" t="s">
        <v>1905</v>
      </c>
      <c r="W429" t="s">
        <v>1907</v>
      </c>
      <c r="X429" t="s">
        <v>1910</v>
      </c>
      <c r="Y429" t="s">
        <v>325</v>
      </c>
      <c r="Z429" t="s">
        <v>110</v>
      </c>
      <c r="AA429" t="str">
        <f>"10011-4612"</f>
        <v>10011-4612</v>
      </c>
      <c r="AB429" t="s">
        <v>172</v>
      </c>
      <c r="AC429" t="s">
        <v>112</v>
      </c>
      <c r="AD429" t="s">
        <v>107</v>
      </c>
      <c r="AE429" t="s">
        <v>113</v>
      </c>
      <c r="AG429" t="s">
        <v>114</v>
      </c>
    </row>
    <row r="430" spans="1:33" x14ac:dyDescent="0.25">
      <c r="A430" t="str">
        <f>"1780912956"</f>
        <v>1780912956</v>
      </c>
      <c r="B430" t="str">
        <f>"03184961"</f>
        <v>03184961</v>
      </c>
      <c r="C430" t="s">
        <v>1911</v>
      </c>
      <c r="D430" t="s">
        <v>1912</v>
      </c>
      <c r="E430" t="s">
        <v>1911</v>
      </c>
      <c r="G430" t="s">
        <v>1908</v>
      </c>
      <c r="H430" t="s">
        <v>1276</v>
      </c>
      <c r="I430">
        <v>3132</v>
      </c>
      <c r="J430" t="s">
        <v>1909</v>
      </c>
      <c r="L430" t="s">
        <v>106</v>
      </c>
      <c r="M430" t="s">
        <v>167</v>
      </c>
      <c r="R430" t="s">
        <v>1911</v>
      </c>
      <c r="W430" t="s">
        <v>1911</v>
      </c>
      <c r="X430" t="s">
        <v>1913</v>
      </c>
      <c r="Y430" t="s">
        <v>240</v>
      </c>
      <c r="Z430" t="s">
        <v>110</v>
      </c>
      <c r="AA430" t="str">
        <f>"11204-4903"</f>
        <v>11204-4903</v>
      </c>
      <c r="AB430" t="s">
        <v>172</v>
      </c>
      <c r="AC430" t="s">
        <v>112</v>
      </c>
      <c r="AD430" t="s">
        <v>107</v>
      </c>
      <c r="AE430" t="s">
        <v>113</v>
      </c>
      <c r="AG430" t="s">
        <v>114</v>
      </c>
    </row>
    <row r="431" spans="1:33" x14ac:dyDescent="0.25">
      <c r="A431" t="str">
        <f>"1891753000"</f>
        <v>1891753000</v>
      </c>
      <c r="B431" t="str">
        <f>"02746656"</f>
        <v>02746656</v>
      </c>
      <c r="C431" t="s">
        <v>1914</v>
      </c>
      <c r="D431" t="s">
        <v>1915</v>
      </c>
      <c r="E431" t="s">
        <v>1916</v>
      </c>
      <c r="G431" t="s">
        <v>1908</v>
      </c>
      <c r="H431" t="s">
        <v>1276</v>
      </c>
      <c r="I431">
        <v>3132</v>
      </c>
      <c r="J431" t="s">
        <v>1909</v>
      </c>
      <c r="L431" t="s">
        <v>106</v>
      </c>
      <c r="M431" t="s">
        <v>167</v>
      </c>
      <c r="R431" t="s">
        <v>1914</v>
      </c>
      <c r="W431" t="s">
        <v>1916</v>
      </c>
      <c r="X431" t="s">
        <v>1917</v>
      </c>
      <c r="Y431" t="s">
        <v>240</v>
      </c>
      <c r="Z431" t="s">
        <v>110</v>
      </c>
      <c r="AA431" t="str">
        <f>"11213-4845"</f>
        <v>11213-4845</v>
      </c>
      <c r="AB431" t="s">
        <v>172</v>
      </c>
      <c r="AC431" t="s">
        <v>112</v>
      </c>
      <c r="AD431" t="s">
        <v>107</v>
      </c>
      <c r="AE431" t="s">
        <v>113</v>
      </c>
      <c r="AG431" t="s">
        <v>114</v>
      </c>
    </row>
    <row r="432" spans="1:33" x14ac:dyDescent="0.25">
      <c r="A432" t="str">
        <f>"1881772762"</f>
        <v>1881772762</v>
      </c>
      <c r="B432" t="str">
        <f>"02624835"</f>
        <v>02624835</v>
      </c>
      <c r="C432" t="s">
        <v>1918</v>
      </c>
      <c r="D432" t="s">
        <v>1919</v>
      </c>
      <c r="E432" t="s">
        <v>1920</v>
      </c>
      <c r="G432" t="s">
        <v>1908</v>
      </c>
      <c r="H432" t="s">
        <v>1276</v>
      </c>
      <c r="I432">
        <v>3132</v>
      </c>
      <c r="J432" t="s">
        <v>1909</v>
      </c>
      <c r="L432" t="s">
        <v>106</v>
      </c>
      <c r="M432" t="s">
        <v>167</v>
      </c>
      <c r="R432" t="s">
        <v>1918</v>
      </c>
      <c r="W432" t="s">
        <v>1920</v>
      </c>
      <c r="X432" t="s">
        <v>1279</v>
      </c>
      <c r="Y432" t="s">
        <v>647</v>
      </c>
      <c r="Z432" t="s">
        <v>110</v>
      </c>
      <c r="AA432" t="str">
        <f>"11366-1950"</f>
        <v>11366-1950</v>
      </c>
      <c r="AB432" t="s">
        <v>172</v>
      </c>
      <c r="AC432" t="s">
        <v>112</v>
      </c>
      <c r="AD432" t="s">
        <v>107</v>
      </c>
      <c r="AE432" t="s">
        <v>113</v>
      </c>
      <c r="AG432" t="s">
        <v>114</v>
      </c>
    </row>
    <row r="433" spans="1:33" x14ac:dyDescent="0.25">
      <c r="A433" t="str">
        <f>"1659512051"</f>
        <v>1659512051</v>
      </c>
      <c r="B433" t="str">
        <f>"03155213"</f>
        <v>03155213</v>
      </c>
      <c r="C433" t="s">
        <v>1921</v>
      </c>
      <c r="D433" t="s">
        <v>1922</v>
      </c>
      <c r="E433" t="s">
        <v>1923</v>
      </c>
      <c r="G433" t="s">
        <v>1908</v>
      </c>
      <c r="H433" t="s">
        <v>1276</v>
      </c>
      <c r="I433">
        <v>3132</v>
      </c>
      <c r="J433" t="s">
        <v>1909</v>
      </c>
      <c r="L433" t="s">
        <v>106</v>
      </c>
      <c r="M433" t="s">
        <v>167</v>
      </c>
      <c r="R433" t="s">
        <v>1921</v>
      </c>
      <c r="W433" t="s">
        <v>1923</v>
      </c>
      <c r="X433" t="s">
        <v>1924</v>
      </c>
      <c r="Y433" t="s">
        <v>240</v>
      </c>
      <c r="Z433" t="s">
        <v>110</v>
      </c>
      <c r="AA433" t="str">
        <f>"11220-2559"</f>
        <v>11220-2559</v>
      </c>
      <c r="AB433" t="s">
        <v>172</v>
      </c>
      <c r="AC433" t="s">
        <v>112</v>
      </c>
      <c r="AD433" t="s">
        <v>107</v>
      </c>
      <c r="AE433" t="s">
        <v>113</v>
      </c>
      <c r="AG433" t="s">
        <v>114</v>
      </c>
    </row>
    <row r="434" spans="1:33" x14ac:dyDescent="0.25">
      <c r="A434" t="str">
        <f>"1437326055"</f>
        <v>1437326055</v>
      </c>
      <c r="B434" t="str">
        <f>"02855723"</f>
        <v>02855723</v>
      </c>
      <c r="C434" t="s">
        <v>1925</v>
      </c>
      <c r="D434" t="s">
        <v>1926</v>
      </c>
      <c r="E434" t="s">
        <v>1927</v>
      </c>
      <c r="G434" t="s">
        <v>1908</v>
      </c>
      <c r="H434" t="s">
        <v>1276</v>
      </c>
      <c r="I434">
        <v>3132</v>
      </c>
      <c r="J434" t="s">
        <v>1909</v>
      </c>
      <c r="L434" t="s">
        <v>106</v>
      </c>
      <c r="M434" t="s">
        <v>167</v>
      </c>
      <c r="R434" t="s">
        <v>1925</v>
      </c>
      <c r="W434" t="s">
        <v>1928</v>
      </c>
      <c r="X434" t="s">
        <v>1929</v>
      </c>
      <c r="Y434" t="s">
        <v>325</v>
      </c>
      <c r="Z434" t="s">
        <v>110</v>
      </c>
      <c r="AA434" t="str">
        <f>"10003-3314"</f>
        <v>10003-3314</v>
      </c>
      <c r="AB434" t="s">
        <v>172</v>
      </c>
      <c r="AC434" t="s">
        <v>112</v>
      </c>
      <c r="AD434" t="s">
        <v>107</v>
      </c>
      <c r="AE434" t="s">
        <v>113</v>
      </c>
      <c r="AG434" t="s">
        <v>114</v>
      </c>
    </row>
    <row r="435" spans="1:33" x14ac:dyDescent="0.25">
      <c r="A435" t="str">
        <f>"1679771109"</f>
        <v>1679771109</v>
      </c>
      <c r="B435" t="str">
        <f>"03741600"</f>
        <v>03741600</v>
      </c>
      <c r="C435" t="s">
        <v>1930</v>
      </c>
      <c r="D435" t="s">
        <v>1931</v>
      </c>
      <c r="E435" t="s">
        <v>1932</v>
      </c>
      <c r="G435" t="s">
        <v>1908</v>
      </c>
      <c r="H435" t="s">
        <v>1276</v>
      </c>
      <c r="I435">
        <v>3132</v>
      </c>
      <c r="J435" t="s">
        <v>1909</v>
      </c>
      <c r="L435" t="s">
        <v>106</v>
      </c>
      <c r="M435" t="s">
        <v>167</v>
      </c>
      <c r="R435" t="s">
        <v>1930</v>
      </c>
      <c r="W435" t="s">
        <v>1932</v>
      </c>
      <c r="X435" t="s">
        <v>1933</v>
      </c>
      <c r="Y435" t="s">
        <v>1934</v>
      </c>
      <c r="Z435" t="s">
        <v>110</v>
      </c>
      <c r="AA435" t="str">
        <f>"12572-3104"</f>
        <v>12572-3104</v>
      </c>
      <c r="AB435" t="s">
        <v>172</v>
      </c>
      <c r="AC435" t="s">
        <v>112</v>
      </c>
      <c r="AD435" t="s">
        <v>107</v>
      </c>
      <c r="AE435" t="s">
        <v>113</v>
      </c>
      <c r="AG435" t="s">
        <v>114</v>
      </c>
    </row>
    <row r="436" spans="1:33" x14ac:dyDescent="0.25">
      <c r="A436" t="str">
        <f>"1295867471"</f>
        <v>1295867471</v>
      </c>
      <c r="B436" t="str">
        <f>"03808293"</f>
        <v>03808293</v>
      </c>
      <c r="C436" t="s">
        <v>1935</v>
      </c>
      <c r="D436" t="s">
        <v>1936</v>
      </c>
      <c r="E436" t="s">
        <v>1937</v>
      </c>
      <c r="G436" t="s">
        <v>1908</v>
      </c>
      <c r="H436" t="s">
        <v>1276</v>
      </c>
      <c r="I436">
        <v>3132</v>
      </c>
      <c r="J436" t="s">
        <v>1909</v>
      </c>
      <c r="L436" t="s">
        <v>106</v>
      </c>
      <c r="M436" t="s">
        <v>107</v>
      </c>
      <c r="R436" t="s">
        <v>1935</v>
      </c>
      <c r="W436" t="s">
        <v>1937</v>
      </c>
      <c r="X436" t="s">
        <v>1279</v>
      </c>
      <c r="Y436" t="s">
        <v>647</v>
      </c>
      <c r="Z436" t="s">
        <v>110</v>
      </c>
      <c r="AA436" t="str">
        <f>"11366-1950"</f>
        <v>11366-1950</v>
      </c>
      <c r="AB436" t="s">
        <v>172</v>
      </c>
      <c r="AC436" t="s">
        <v>112</v>
      </c>
      <c r="AD436" t="s">
        <v>107</v>
      </c>
      <c r="AE436" t="s">
        <v>113</v>
      </c>
      <c r="AG436" t="s">
        <v>114</v>
      </c>
    </row>
    <row r="437" spans="1:33" x14ac:dyDescent="0.25">
      <c r="A437" t="str">
        <f>"1215093935"</f>
        <v>1215093935</v>
      </c>
      <c r="B437" t="str">
        <f>"03572290"</f>
        <v>03572290</v>
      </c>
      <c r="C437" t="s">
        <v>1938</v>
      </c>
      <c r="D437" t="s">
        <v>1939</v>
      </c>
      <c r="E437" t="s">
        <v>1940</v>
      </c>
      <c r="G437" t="s">
        <v>1908</v>
      </c>
      <c r="H437" t="s">
        <v>1276</v>
      </c>
      <c r="I437">
        <v>3132</v>
      </c>
      <c r="J437" t="s">
        <v>1909</v>
      </c>
      <c r="L437" t="s">
        <v>106</v>
      </c>
      <c r="M437" t="s">
        <v>167</v>
      </c>
      <c r="R437" t="s">
        <v>1938</v>
      </c>
      <c r="W437" t="s">
        <v>1941</v>
      </c>
      <c r="X437" t="s">
        <v>1942</v>
      </c>
      <c r="Y437" t="s">
        <v>1943</v>
      </c>
      <c r="Z437" t="s">
        <v>110</v>
      </c>
      <c r="AA437" t="str">
        <f>"11788-2420"</f>
        <v>11788-2420</v>
      </c>
      <c r="AB437" t="s">
        <v>172</v>
      </c>
      <c r="AC437" t="s">
        <v>112</v>
      </c>
      <c r="AD437" t="s">
        <v>107</v>
      </c>
      <c r="AE437" t="s">
        <v>113</v>
      </c>
      <c r="AG437" t="s">
        <v>114</v>
      </c>
    </row>
    <row r="438" spans="1:33" x14ac:dyDescent="0.25">
      <c r="A438" t="str">
        <f>"1013015767"</f>
        <v>1013015767</v>
      </c>
      <c r="B438" t="str">
        <f>"02876346"</f>
        <v>02876346</v>
      </c>
      <c r="C438" t="s">
        <v>1944</v>
      </c>
      <c r="D438" t="s">
        <v>1945</v>
      </c>
      <c r="E438" t="s">
        <v>1946</v>
      </c>
      <c r="G438" t="s">
        <v>1908</v>
      </c>
      <c r="H438" t="s">
        <v>1276</v>
      </c>
      <c r="I438">
        <v>3132</v>
      </c>
      <c r="J438" t="s">
        <v>1909</v>
      </c>
      <c r="L438" t="s">
        <v>106</v>
      </c>
      <c r="M438" t="s">
        <v>107</v>
      </c>
      <c r="R438" t="s">
        <v>1944</v>
      </c>
      <c r="W438" t="s">
        <v>1946</v>
      </c>
      <c r="X438" t="s">
        <v>1929</v>
      </c>
      <c r="Y438" t="s">
        <v>325</v>
      </c>
      <c r="Z438" t="s">
        <v>110</v>
      </c>
      <c r="AA438" t="str">
        <f>"10003-3314"</f>
        <v>10003-3314</v>
      </c>
      <c r="AB438" t="s">
        <v>172</v>
      </c>
      <c r="AC438" t="s">
        <v>112</v>
      </c>
      <c r="AD438" t="s">
        <v>107</v>
      </c>
      <c r="AE438" t="s">
        <v>113</v>
      </c>
      <c r="AG438" t="s">
        <v>114</v>
      </c>
    </row>
    <row r="439" spans="1:33" x14ac:dyDescent="0.25">
      <c r="A439" t="str">
        <f>"1417968488"</f>
        <v>1417968488</v>
      </c>
      <c r="B439" t="str">
        <f>"03000039"</f>
        <v>03000039</v>
      </c>
      <c r="C439" t="s">
        <v>1347</v>
      </c>
      <c r="D439" t="s">
        <v>1355</v>
      </c>
      <c r="E439" t="s">
        <v>1356</v>
      </c>
      <c r="G439" t="s">
        <v>1350</v>
      </c>
      <c r="H439" t="s">
        <v>1351</v>
      </c>
      <c r="J439" t="s">
        <v>1352</v>
      </c>
      <c r="L439" t="s">
        <v>1358</v>
      </c>
      <c r="M439" t="s">
        <v>167</v>
      </c>
      <c r="R439" t="s">
        <v>1353</v>
      </c>
      <c r="W439" t="s">
        <v>1356</v>
      </c>
      <c r="X439" t="s">
        <v>1354</v>
      </c>
      <c r="Y439" t="s">
        <v>183</v>
      </c>
      <c r="Z439" t="s">
        <v>110</v>
      </c>
      <c r="AA439" t="str">
        <f>"10461-2300"</f>
        <v>10461-2300</v>
      </c>
      <c r="AB439" t="s">
        <v>688</v>
      </c>
      <c r="AC439" t="s">
        <v>112</v>
      </c>
      <c r="AD439" t="s">
        <v>107</v>
      </c>
      <c r="AE439" t="s">
        <v>113</v>
      </c>
      <c r="AG439" t="s">
        <v>114</v>
      </c>
    </row>
    <row r="440" spans="1:33" x14ac:dyDescent="0.25">
      <c r="A440" t="str">
        <f>"1871674283"</f>
        <v>1871674283</v>
      </c>
      <c r="B440" t="str">
        <f>"03321313"</f>
        <v>03321313</v>
      </c>
      <c r="C440" t="s">
        <v>1947</v>
      </c>
      <c r="D440" t="s">
        <v>1948</v>
      </c>
      <c r="E440" t="s">
        <v>1949</v>
      </c>
      <c r="G440" t="s">
        <v>273</v>
      </c>
      <c r="H440" t="s">
        <v>274</v>
      </c>
      <c r="J440" t="s">
        <v>275</v>
      </c>
      <c r="L440" t="s">
        <v>117</v>
      </c>
      <c r="M440" t="s">
        <v>107</v>
      </c>
      <c r="R440" t="s">
        <v>1947</v>
      </c>
      <c r="W440" t="s">
        <v>1949</v>
      </c>
      <c r="X440" t="s">
        <v>659</v>
      </c>
      <c r="Y440" t="s">
        <v>325</v>
      </c>
      <c r="Z440" t="s">
        <v>110</v>
      </c>
      <c r="AA440" t="str">
        <f>"10024-4018"</f>
        <v>10024-4018</v>
      </c>
      <c r="AB440" t="s">
        <v>111</v>
      </c>
      <c r="AC440" t="s">
        <v>112</v>
      </c>
      <c r="AD440" t="s">
        <v>107</v>
      </c>
      <c r="AE440" t="s">
        <v>113</v>
      </c>
      <c r="AG440" t="s">
        <v>114</v>
      </c>
    </row>
    <row r="441" spans="1:33" x14ac:dyDescent="0.25">
      <c r="A441" t="str">
        <f>"1639386816"</f>
        <v>1639386816</v>
      </c>
      <c r="B441" t="str">
        <f>"02725762"</f>
        <v>02725762</v>
      </c>
      <c r="C441" t="s">
        <v>1950</v>
      </c>
      <c r="D441" t="s">
        <v>1951</v>
      </c>
      <c r="E441" t="s">
        <v>1952</v>
      </c>
      <c r="G441" t="s">
        <v>273</v>
      </c>
      <c r="H441" t="s">
        <v>274</v>
      </c>
      <c r="J441" t="s">
        <v>275</v>
      </c>
      <c r="L441" t="s">
        <v>106</v>
      </c>
      <c r="M441" t="s">
        <v>107</v>
      </c>
      <c r="R441" t="s">
        <v>1950</v>
      </c>
      <c r="W441" t="s">
        <v>1952</v>
      </c>
      <c r="X441" t="s">
        <v>506</v>
      </c>
      <c r="Y441" t="s">
        <v>225</v>
      </c>
      <c r="Z441" t="s">
        <v>110</v>
      </c>
      <c r="AA441" t="str">
        <f>"11355-2205"</f>
        <v>11355-2205</v>
      </c>
      <c r="AB441" t="s">
        <v>172</v>
      </c>
      <c r="AC441" t="s">
        <v>112</v>
      </c>
      <c r="AD441" t="s">
        <v>107</v>
      </c>
      <c r="AE441" t="s">
        <v>113</v>
      </c>
      <c r="AG441" t="s">
        <v>114</v>
      </c>
    </row>
    <row r="442" spans="1:33" x14ac:dyDescent="0.25">
      <c r="A442" t="str">
        <f>"1992900088"</f>
        <v>1992900088</v>
      </c>
      <c r="B442" t="str">
        <f>"03522754"</f>
        <v>03522754</v>
      </c>
      <c r="C442" t="s">
        <v>1953</v>
      </c>
      <c r="D442" t="s">
        <v>1954</v>
      </c>
      <c r="E442" t="s">
        <v>1955</v>
      </c>
      <c r="G442" t="s">
        <v>212</v>
      </c>
      <c r="H442" t="s">
        <v>213</v>
      </c>
      <c r="J442" t="s">
        <v>214</v>
      </c>
      <c r="L442" t="s">
        <v>166</v>
      </c>
      <c r="M442" t="s">
        <v>167</v>
      </c>
      <c r="R442" t="s">
        <v>1956</v>
      </c>
      <c r="W442" t="s">
        <v>1955</v>
      </c>
      <c r="X442" t="s">
        <v>863</v>
      </c>
      <c r="Y442" t="s">
        <v>325</v>
      </c>
      <c r="Z442" t="s">
        <v>110</v>
      </c>
      <c r="AA442" t="str">
        <f>"10026-3138"</f>
        <v>10026-3138</v>
      </c>
      <c r="AB442" t="s">
        <v>172</v>
      </c>
      <c r="AC442" t="s">
        <v>112</v>
      </c>
      <c r="AD442" t="s">
        <v>107</v>
      </c>
      <c r="AE442" t="s">
        <v>113</v>
      </c>
      <c r="AG442" t="s">
        <v>114</v>
      </c>
    </row>
    <row r="443" spans="1:33" x14ac:dyDescent="0.25">
      <c r="A443" t="str">
        <f>"1265460216"</f>
        <v>1265460216</v>
      </c>
      <c r="B443" t="str">
        <f>"01106638"</f>
        <v>01106638</v>
      </c>
      <c r="C443" t="s">
        <v>1957</v>
      </c>
      <c r="D443" t="s">
        <v>1958</v>
      </c>
      <c r="E443" t="s">
        <v>1959</v>
      </c>
      <c r="G443" t="s">
        <v>244</v>
      </c>
      <c r="H443" t="s">
        <v>245</v>
      </c>
      <c r="I443">
        <v>3484</v>
      </c>
      <c r="J443" t="s">
        <v>246</v>
      </c>
      <c r="L443" t="s">
        <v>106</v>
      </c>
      <c r="M443" t="s">
        <v>107</v>
      </c>
      <c r="R443" t="s">
        <v>1957</v>
      </c>
      <c r="W443" t="s">
        <v>1959</v>
      </c>
      <c r="Y443" t="s">
        <v>240</v>
      </c>
      <c r="Z443" t="s">
        <v>110</v>
      </c>
      <c r="AA443" t="str">
        <f>"11215-3645"</f>
        <v>11215-3645</v>
      </c>
      <c r="AB443" t="s">
        <v>172</v>
      </c>
      <c r="AC443" t="s">
        <v>112</v>
      </c>
      <c r="AD443" t="s">
        <v>107</v>
      </c>
      <c r="AE443" t="s">
        <v>113</v>
      </c>
      <c r="AG443" t="s">
        <v>114</v>
      </c>
    </row>
    <row r="444" spans="1:33" x14ac:dyDescent="0.25">
      <c r="A444" t="str">
        <f>"1114353653"</f>
        <v>1114353653</v>
      </c>
      <c r="C444" t="s">
        <v>1960</v>
      </c>
      <c r="G444" t="s">
        <v>273</v>
      </c>
      <c r="H444" t="s">
        <v>274</v>
      </c>
      <c r="J444" t="s">
        <v>275</v>
      </c>
      <c r="K444" t="s">
        <v>276</v>
      </c>
      <c r="L444" t="s">
        <v>373</v>
      </c>
      <c r="M444" t="s">
        <v>107</v>
      </c>
      <c r="R444" t="s">
        <v>1960</v>
      </c>
      <c r="S444" t="s">
        <v>1961</v>
      </c>
      <c r="T444" t="s">
        <v>1159</v>
      </c>
      <c r="U444" t="s">
        <v>110</v>
      </c>
      <c r="V444" t="str">
        <f>"11377"</f>
        <v>11377</v>
      </c>
      <c r="AC444" t="s">
        <v>112</v>
      </c>
      <c r="AD444" t="s">
        <v>107</v>
      </c>
      <c r="AE444" t="s">
        <v>278</v>
      </c>
      <c r="AG444" t="s">
        <v>114</v>
      </c>
    </row>
    <row r="445" spans="1:33" x14ac:dyDescent="0.25">
      <c r="A445" t="str">
        <f>"1407810385"</f>
        <v>1407810385</v>
      </c>
      <c r="B445" t="str">
        <f>"03007027"</f>
        <v>03007027</v>
      </c>
      <c r="C445" t="s">
        <v>1962</v>
      </c>
      <c r="D445" t="s">
        <v>1963</v>
      </c>
      <c r="E445" t="s">
        <v>1964</v>
      </c>
      <c r="G445" t="s">
        <v>682</v>
      </c>
      <c r="H445" t="s">
        <v>683</v>
      </c>
      <c r="J445" t="s">
        <v>684</v>
      </c>
      <c r="L445" t="s">
        <v>373</v>
      </c>
      <c r="M445" t="s">
        <v>107</v>
      </c>
      <c r="R445" t="s">
        <v>1962</v>
      </c>
      <c r="W445" t="s">
        <v>1964</v>
      </c>
      <c r="X445" t="s">
        <v>311</v>
      </c>
      <c r="Y445" t="s">
        <v>225</v>
      </c>
      <c r="Z445" t="s">
        <v>110</v>
      </c>
      <c r="AA445" t="str">
        <f>"11355-5045"</f>
        <v>11355-5045</v>
      </c>
      <c r="AB445" t="s">
        <v>208</v>
      </c>
      <c r="AC445" t="s">
        <v>112</v>
      </c>
      <c r="AD445" t="s">
        <v>107</v>
      </c>
      <c r="AE445" t="s">
        <v>113</v>
      </c>
      <c r="AG445" t="s">
        <v>114</v>
      </c>
    </row>
    <row r="446" spans="1:33" x14ac:dyDescent="0.25">
      <c r="A446" t="str">
        <f>"1306812003"</f>
        <v>1306812003</v>
      </c>
      <c r="B446" t="str">
        <f>"01115737"</f>
        <v>01115737</v>
      </c>
      <c r="C446" t="s">
        <v>1965</v>
      </c>
      <c r="D446" t="s">
        <v>1963</v>
      </c>
      <c r="E446" t="s">
        <v>1964</v>
      </c>
      <c r="G446" t="s">
        <v>682</v>
      </c>
      <c r="H446" t="s">
        <v>683</v>
      </c>
      <c r="J446" t="s">
        <v>684</v>
      </c>
      <c r="L446" t="s">
        <v>373</v>
      </c>
      <c r="M446" t="s">
        <v>107</v>
      </c>
      <c r="R446" t="s">
        <v>1965</v>
      </c>
      <c r="W446" t="s">
        <v>1964</v>
      </c>
      <c r="X446" t="s">
        <v>311</v>
      </c>
      <c r="Y446" t="s">
        <v>225</v>
      </c>
      <c r="Z446" t="s">
        <v>110</v>
      </c>
      <c r="AA446" t="str">
        <f>"11355-5045"</f>
        <v>11355-5045</v>
      </c>
      <c r="AB446" t="s">
        <v>208</v>
      </c>
      <c r="AC446" t="s">
        <v>112</v>
      </c>
      <c r="AD446" t="s">
        <v>107</v>
      </c>
      <c r="AE446" t="s">
        <v>113</v>
      </c>
      <c r="AG446" t="s">
        <v>114</v>
      </c>
    </row>
    <row r="447" spans="1:33" x14ac:dyDescent="0.25">
      <c r="A447" t="str">
        <f>"1487720017"</f>
        <v>1487720017</v>
      </c>
      <c r="B447" t="str">
        <f>"02400195"</f>
        <v>02400195</v>
      </c>
      <c r="C447" t="s">
        <v>1966</v>
      </c>
      <c r="D447" t="s">
        <v>1967</v>
      </c>
      <c r="E447" t="s">
        <v>1966</v>
      </c>
      <c r="G447" t="s">
        <v>212</v>
      </c>
      <c r="H447" t="s">
        <v>213</v>
      </c>
      <c r="J447" t="s">
        <v>214</v>
      </c>
      <c r="L447" t="s">
        <v>166</v>
      </c>
      <c r="M447" t="s">
        <v>167</v>
      </c>
      <c r="R447" t="s">
        <v>1966</v>
      </c>
      <c r="W447" t="s">
        <v>1966</v>
      </c>
      <c r="X447" t="s">
        <v>863</v>
      </c>
      <c r="Y447" t="s">
        <v>325</v>
      </c>
      <c r="Z447" t="s">
        <v>110</v>
      </c>
      <c r="AA447" t="str">
        <f>"10026-3138"</f>
        <v>10026-3138</v>
      </c>
      <c r="AB447" t="s">
        <v>172</v>
      </c>
      <c r="AC447" t="s">
        <v>112</v>
      </c>
      <c r="AD447" t="s">
        <v>107</v>
      </c>
      <c r="AE447" t="s">
        <v>113</v>
      </c>
      <c r="AG447" t="s">
        <v>114</v>
      </c>
    </row>
    <row r="448" spans="1:33" x14ac:dyDescent="0.25">
      <c r="A448" t="str">
        <f>"1730182254"</f>
        <v>1730182254</v>
      </c>
      <c r="B448" t="str">
        <f>"00309682"</f>
        <v>00309682</v>
      </c>
      <c r="C448" t="s">
        <v>1968</v>
      </c>
      <c r="D448" t="s">
        <v>1969</v>
      </c>
      <c r="E448" t="s">
        <v>1970</v>
      </c>
      <c r="G448" t="s">
        <v>1971</v>
      </c>
      <c r="H448" t="s">
        <v>1972</v>
      </c>
      <c r="J448" t="s">
        <v>1973</v>
      </c>
      <c r="L448" t="s">
        <v>405</v>
      </c>
      <c r="M448" t="s">
        <v>167</v>
      </c>
      <c r="R448" t="s">
        <v>1974</v>
      </c>
      <c r="W448" t="s">
        <v>1975</v>
      </c>
      <c r="X448" t="s">
        <v>1976</v>
      </c>
      <c r="Y448" t="s">
        <v>422</v>
      </c>
      <c r="Z448" t="s">
        <v>110</v>
      </c>
      <c r="AA448" t="str">
        <f>"11432-1816"</f>
        <v>11432-1816</v>
      </c>
      <c r="AB448" t="s">
        <v>408</v>
      </c>
      <c r="AC448" t="s">
        <v>112</v>
      </c>
      <c r="AD448" t="s">
        <v>107</v>
      </c>
      <c r="AE448" t="s">
        <v>113</v>
      </c>
      <c r="AG448" t="s">
        <v>114</v>
      </c>
    </row>
    <row r="449" spans="1:33" x14ac:dyDescent="0.25">
      <c r="A449" t="str">
        <f>"1295163988"</f>
        <v>1295163988</v>
      </c>
      <c r="B449" t="str">
        <f>"04538276"</f>
        <v>04538276</v>
      </c>
      <c r="C449" t="s">
        <v>1977</v>
      </c>
      <c r="D449" t="s">
        <v>1978</v>
      </c>
      <c r="E449" t="s">
        <v>1979</v>
      </c>
      <c r="G449" t="s">
        <v>273</v>
      </c>
      <c r="H449" t="s">
        <v>274</v>
      </c>
      <c r="J449" t="s">
        <v>275</v>
      </c>
      <c r="L449" t="s">
        <v>106</v>
      </c>
      <c r="M449" t="s">
        <v>107</v>
      </c>
      <c r="R449" t="s">
        <v>1977</v>
      </c>
      <c r="W449" t="s">
        <v>1979</v>
      </c>
      <c r="AB449" t="s">
        <v>111</v>
      </c>
      <c r="AC449" t="s">
        <v>112</v>
      </c>
      <c r="AD449" t="s">
        <v>107</v>
      </c>
      <c r="AE449" t="s">
        <v>113</v>
      </c>
      <c r="AG449" t="s">
        <v>114</v>
      </c>
    </row>
    <row r="450" spans="1:33" x14ac:dyDescent="0.25">
      <c r="A450" t="str">
        <f>"1912262312"</f>
        <v>1912262312</v>
      </c>
      <c r="C450" t="s">
        <v>1980</v>
      </c>
      <c r="G450" t="s">
        <v>273</v>
      </c>
      <c r="H450" t="s">
        <v>274</v>
      </c>
      <c r="J450" t="s">
        <v>275</v>
      </c>
      <c r="K450" t="s">
        <v>276</v>
      </c>
      <c r="L450" t="s">
        <v>106</v>
      </c>
      <c r="M450" t="s">
        <v>107</v>
      </c>
      <c r="R450" t="s">
        <v>1980</v>
      </c>
      <c r="S450" t="s">
        <v>1380</v>
      </c>
      <c r="T450" t="s">
        <v>1159</v>
      </c>
      <c r="U450" t="s">
        <v>110</v>
      </c>
      <c r="V450" t="str">
        <f>"113773576"</f>
        <v>113773576</v>
      </c>
      <c r="AC450" t="s">
        <v>112</v>
      </c>
      <c r="AD450" t="s">
        <v>107</v>
      </c>
      <c r="AE450" t="s">
        <v>278</v>
      </c>
      <c r="AG450" t="s">
        <v>114</v>
      </c>
    </row>
    <row r="451" spans="1:33" x14ac:dyDescent="0.25">
      <c r="A451" t="str">
        <f>"1275847824"</f>
        <v>1275847824</v>
      </c>
      <c r="B451" t="str">
        <f>"03338290"</f>
        <v>03338290</v>
      </c>
      <c r="C451" t="s">
        <v>1981</v>
      </c>
      <c r="D451" t="s">
        <v>1982</v>
      </c>
      <c r="E451" t="s">
        <v>1983</v>
      </c>
      <c r="G451" t="s">
        <v>176</v>
      </c>
      <c r="H451" t="s">
        <v>177</v>
      </c>
      <c r="I451">
        <v>3264</v>
      </c>
      <c r="J451" t="s">
        <v>178</v>
      </c>
      <c r="L451" t="s">
        <v>514</v>
      </c>
      <c r="M451" t="s">
        <v>167</v>
      </c>
      <c r="R451" t="s">
        <v>1981</v>
      </c>
      <c r="W451" t="s">
        <v>1984</v>
      </c>
      <c r="X451" t="s">
        <v>182</v>
      </c>
      <c r="Y451" t="s">
        <v>183</v>
      </c>
      <c r="Z451" t="s">
        <v>110</v>
      </c>
      <c r="AA451" t="str">
        <f>"10452-2001"</f>
        <v>10452-2001</v>
      </c>
      <c r="AB451" t="s">
        <v>172</v>
      </c>
      <c r="AC451" t="s">
        <v>112</v>
      </c>
      <c r="AD451" t="s">
        <v>107</v>
      </c>
      <c r="AE451" t="s">
        <v>113</v>
      </c>
      <c r="AG451" t="s">
        <v>114</v>
      </c>
    </row>
    <row r="452" spans="1:33" x14ac:dyDescent="0.25">
      <c r="A452" t="str">
        <f>"1952622987"</f>
        <v>1952622987</v>
      </c>
      <c r="B452" t="str">
        <f>"03650828"</f>
        <v>03650828</v>
      </c>
      <c r="C452" t="s">
        <v>1985</v>
      </c>
      <c r="D452" t="s">
        <v>1986</v>
      </c>
      <c r="E452" t="s">
        <v>1987</v>
      </c>
      <c r="G452" t="s">
        <v>212</v>
      </c>
      <c r="H452" t="s">
        <v>213</v>
      </c>
      <c r="J452" t="s">
        <v>214</v>
      </c>
      <c r="L452" t="s">
        <v>166</v>
      </c>
      <c r="M452" t="s">
        <v>167</v>
      </c>
      <c r="R452" t="s">
        <v>1985</v>
      </c>
      <c r="W452" t="s">
        <v>1987</v>
      </c>
      <c r="X452" t="s">
        <v>863</v>
      </c>
      <c r="Y452" t="s">
        <v>325</v>
      </c>
      <c r="Z452" t="s">
        <v>110</v>
      </c>
      <c r="AA452" t="str">
        <f>"10026-3138"</f>
        <v>10026-3138</v>
      </c>
      <c r="AB452" t="s">
        <v>172</v>
      </c>
      <c r="AC452" t="s">
        <v>112</v>
      </c>
      <c r="AD452" t="s">
        <v>107</v>
      </c>
      <c r="AE452" t="s">
        <v>113</v>
      </c>
      <c r="AG452" t="s">
        <v>114</v>
      </c>
    </row>
    <row r="453" spans="1:33" x14ac:dyDescent="0.25">
      <c r="A453" t="str">
        <f>"1306085436"</f>
        <v>1306085436</v>
      </c>
      <c r="B453" t="str">
        <f>"03107742"</f>
        <v>03107742</v>
      </c>
      <c r="C453" t="s">
        <v>1988</v>
      </c>
      <c r="D453" t="s">
        <v>1989</v>
      </c>
      <c r="E453" t="s">
        <v>1990</v>
      </c>
      <c r="G453" t="s">
        <v>212</v>
      </c>
      <c r="H453" t="s">
        <v>213</v>
      </c>
      <c r="J453" t="s">
        <v>214</v>
      </c>
      <c r="L453" t="s">
        <v>166</v>
      </c>
      <c r="M453" t="s">
        <v>107</v>
      </c>
      <c r="R453" t="s">
        <v>1988</v>
      </c>
      <c r="W453" t="s">
        <v>1991</v>
      </c>
      <c r="X453" t="s">
        <v>1992</v>
      </c>
      <c r="Y453" t="s">
        <v>325</v>
      </c>
      <c r="Z453" t="s">
        <v>110</v>
      </c>
      <c r="AA453" t="str">
        <f>"10003-4140"</f>
        <v>10003-4140</v>
      </c>
      <c r="AB453" t="s">
        <v>172</v>
      </c>
      <c r="AC453" t="s">
        <v>112</v>
      </c>
      <c r="AD453" t="s">
        <v>107</v>
      </c>
      <c r="AE453" t="s">
        <v>113</v>
      </c>
      <c r="AG453" t="s">
        <v>114</v>
      </c>
    </row>
    <row r="454" spans="1:33" x14ac:dyDescent="0.25">
      <c r="A454" t="str">
        <f>"1295026714"</f>
        <v>1295026714</v>
      </c>
      <c r="B454" t="str">
        <f>"03364665"</f>
        <v>03364665</v>
      </c>
      <c r="C454" t="s">
        <v>1993</v>
      </c>
      <c r="D454" t="s">
        <v>1994</v>
      </c>
      <c r="E454" t="s">
        <v>1995</v>
      </c>
      <c r="G454" t="s">
        <v>212</v>
      </c>
      <c r="H454" t="s">
        <v>213</v>
      </c>
      <c r="J454" t="s">
        <v>214</v>
      </c>
      <c r="L454" t="s">
        <v>215</v>
      </c>
      <c r="M454" t="s">
        <v>167</v>
      </c>
      <c r="R454" t="s">
        <v>1993</v>
      </c>
      <c r="W454" t="s">
        <v>1995</v>
      </c>
      <c r="X454" t="s">
        <v>1076</v>
      </c>
      <c r="Y454" t="s">
        <v>982</v>
      </c>
      <c r="Z454" t="s">
        <v>110</v>
      </c>
      <c r="AA454" t="str">
        <f>"11423-2511"</f>
        <v>11423-2511</v>
      </c>
      <c r="AB454" t="s">
        <v>1044</v>
      </c>
      <c r="AC454" t="s">
        <v>112</v>
      </c>
      <c r="AD454" t="s">
        <v>107</v>
      </c>
      <c r="AE454" t="s">
        <v>113</v>
      </c>
      <c r="AG454" t="s">
        <v>114</v>
      </c>
    </row>
    <row r="455" spans="1:33" x14ac:dyDescent="0.25">
      <c r="A455" t="str">
        <f>"1013132927"</f>
        <v>1013132927</v>
      </c>
      <c r="C455" t="s">
        <v>1996</v>
      </c>
      <c r="G455" t="s">
        <v>273</v>
      </c>
      <c r="H455" t="s">
        <v>274</v>
      </c>
      <c r="J455" t="s">
        <v>275</v>
      </c>
      <c r="K455" t="s">
        <v>276</v>
      </c>
      <c r="L455" t="s">
        <v>373</v>
      </c>
      <c r="M455" t="s">
        <v>107</v>
      </c>
      <c r="R455" t="s">
        <v>1996</v>
      </c>
      <c r="S455" t="s">
        <v>1997</v>
      </c>
      <c r="T455" t="s">
        <v>325</v>
      </c>
      <c r="U455" t="s">
        <v>110</v>
      </c>
      <c r="V455" t="str">
        <f>"100193831"</f>
        <v>100193831</v>
      </c>
      <c r="AC455" t="s">
        <v>112</v>
      </c>
      <c r="AD455" t="s">
        <v>107</v>
      </c>
      <c r="AE455" t="s">
        <v>278</v>
      </c>
      <c r="AG455" t="s">
        <v>114</v>
      </c>
    </row>
    <row r="456" spans="1:33" x14ac:dyDescent="0.25">
      <c r="A456" t="str">
        <f>"1386792083"</f>
        <v>1386792083</v>
      </c>
      <c r="C456" t="s">
        <v>1998</v>
      </c>
      <c r="G456" t="s">
        <v>273</v>
      </c>
      <c r="H456" t="s">
        <v>274</v>
      </c>
      <c r="J456" t="s">
        <v>275</v>
      </c>
      <c r="K456" t="s">
        <v>276</v>
      </c>
      <c r="L456" t="s">
        <v>106</v>
      </c>
      <c r="M456" t="s">
        <v>107</v>
      </c>
      <c r="R456" t="s">
        <v>1998</v>
      </c>
      <c r="S456" t="s">
        <v>277</v>
      </c>
      <c r="T456" t="s">
        <v>200</v>
      </c>
      <c r="U456" t="s">
        <v>110</v>
      </c>
      <c r="V456" t="str">
        <f>"113726300"</f>
        <v>113726300</v>
      </c>
      <c r="AC456" t="s">
        <v>112</v>
      </c>
      <c r="AD456" t="s">
        <v>107</v>
      </c>
      <c r="AE456" t="s">
        <v>278</v>
      </c>
      <c r="AG456" t="s">
        <v>114</v>
      </c>
    </row>
    <row r="457" spans="1:33" x14ac:dyDescent="0.25">
      <c r="A457" t="str">
        <f>"1194916858"</f>
        <v>1194916858</v>
      </c>
      <c r="B457" t="str">
        <f>"02999728"</f>
        <v>02999728</v>
      </c>
      <c r="C457" t="s">
        <v>1542</v>
      </c>
      <c r="D457" t="s">
        <v>1543</v>
      </c>
      <c r="E457" t="s">
        <v>1542</v>
      </c>
      <c r="G457" t="s">
        <v>1544</v>
      </c>
      <c r="H457" t="s">
        <v>1545</v>
      </c>
      <c r="J457" t="s">
        <v>1546</v>
      </c>
      <c r="L457" t="s">
        <v>1547</v>
      </c>
      <c r="M457" t="s">
        <v>167</v>
      </c>
      <c r="R457" t="s">
        <v>1548</v>
      </c>
      <c r="W457" t="s">
        <v>1542</v>
      </c>
      <c r="X457" t="s">
        <v>1549</v>
      </c>
      <c r="Y457" t="s">
        <v>240</v>
      </c>
      <c r="Z457" t="s">
        <v>110</v>
      </c>
      <c r="AA457" t="str">
        <f>"11216-2636"</f>
        <v>11216-2636</v>
      </c>
      <c r="AB457" t="s">
        <v>191</v>
      </c>
      <c r="AC457" t="s">
        <v>112</v>
      </c>
      <c r="AD457" t="s">
        <v>107</v>
      </c>
      <c r="AE457" t="s">
        <v>113</v>
      </c>
      <c r="AG457" t="s">
        <v>114</v>
      </c>
    </row>
    <row r="458" spans="1:33" x14ac:dyDescent="0.25">
      <c r="A458" t="str">
        <f>"1578754222"</f>
        <v>1578754222</v>
      </c>
      <c r="B458" t="str">
        <f>"02999746"</f>
        <v>02999746</v>
      </c>
      <c r="C458" t="s">
        <v>1542</v>
      </c>
      <c r="D458" t="s">
        <v>1543</v>
      </c>
      <c r="E458" t="s">
        <v>1542</v>
      </c>
      <c r="G458" t="s">
        <v>1544</v>
      </c>
      <c r="H458" t="s">
        <v>1545</v>
      </c>
      <c r="J458" t="s">
        <v>1546</v>
      </c>
      <c r="L458" t="s">
        <v>1547</v>
      </c>
      <c r="M458" t="s">
        <v>167</v>
      </c>
      <c r="R458" t="s">
        <v>1548</v>
      </c>
      <c r="W458" t="s">
        <v>1542</v>
      </c>
      <c r="X458" t="s">
        <v>1549</v>
      </c>
      <c r="Y458" t="s">
        <v>240</v>
      </c>
      <c r="Z458" t="s">
        <v>110</v>
      </c>
      <c r="AA458" t="str">
        <f>"11216-2636"</f>
        <v>11216-2636</v>
      </c>
      <c r="AB458" t="s">
        <v>191</v>
      </c>
      <c r="AC458" t="s">
        <v>112</v>
      </c>
      <c r="AD458" t="s">
        <v>107</v>
      </c>
      <c r="AE458" t="s">
        <v>113</v>
      </c>
      <c r="AG458" t="s">
        <v>114</v>
      </c>
    </row>
    <row r="459" spans="1:33" x14ac:dyDescent="0.25">
      <c r="A459" t="str">
        <f>"1194746529"</f>
        <v>1194746529</v>
      </c>
      <c r="B459" t="str">
        <f>"01376214"</f>
        <v>01376214</v>
      </c>
      <c r="C459" t="s">
        <v>1999</v>
      </c>
      <c r="D459" t="s">
        <v>2000</v>
      </c>
      <c r="E459" t="s">
        <v>2001</v>
      </c>
      <c r="G459" t="s">
        <v>195</v>
      </c>
      <c r="H459" t="s">
        <v>196</v>
      </c>
      <c r="J459" t="s">
        <v>197</v>
      </c>
      <c r="L459" t="s">
        <v>166</v>
      </c>
      <c r="M459" t="s">
        <v>107</v>
      </c>
      <c r="R459" t="s">
        <v>1999</v>
      </c>
      <c r="W459" t="s">
        <v>2001</v>
      </c>
      <c r="X459" t="s">
        <v>2002</v>
      </c>
      <c r="Y459" t="s">
        <v>225</v>
      </c>
      <c r="Z459" t="s">
        <v>110</v>
      </c>
      <c r="AA459" t="str">
        <f>"11367-1206"</f>
        <v>11367-1206</v>
      </c>
      <c r="AB459" t="s">
        <v>172</v>
      </c>
      <c r="AC459" t="s">
        <v>112</v>
      </c>
      <c r="AD459" t="s">
        <v>107</v>
      </c>
      <c r="AE459" t="s">
        <v>113</v>
      </c>
      <c r="AG459" t="s">
        <v>114</v>
      </c>
    </row>
    <row r="460" spans="1:33" x14ac:dyDescent="0.25">
      <c r="A460" t="str">
        <f>"1083727762"</f>
        <v>1083727762</v>
      </c>
      <c r="B460" t="str">
        <f>"02253890"</f>
        <v>02253890</v>
      </c>
      <c r="C460" t="s">
        <v>2003</v>
      </c>
      <c r="D460" t="s">
        <v>2004</v>
      </c>
      <c r="E460" t="s">
        <v>2005</v>
      </c>
      <c r="G460" t="s">
        <v>360</v>
      </c>
      <c r="H460" t="s">
        <v>361</v>
      </c>
      <c r="I460">
        <v>122</v>
      </c>
      <c r="J460" t="s">
        <v>362</v>
      </c>
      <c r="L460" t="s">
        <v>166</v>
      </c>
      <c r="M460" t="s">
        <v>107</v>
      </c>
      <c r="R460" t="s">
        <v>2003</v>
      </c>
      <c r="W460" t="s">
        <v>2006</v>
      </c>
      <c r="X460" t="s">
        <v>2007</v>
      </c>
      <c r="Y460" t="s">
        <v>171</v>
      </c>
      <c r="Z460" t="s">
        <v>110</v>
      </c>
      <c r="AA460" t="str">
        <f>"11373-5069"</f>
        <v>11373-5069</v>
      </c>
      <c r="AB460" t="s">
        <v>172</v>
      </c>
      <c r="AC460" t="s">
        <v>112</v>
      </c>
      <c r="AD460" t="s">
        <v>107</v>
      </c>
      <c r="AE460" t="s">
        <v>113</v>
      </c>
      <c r="AG460" t="s">
        <v>114</v>
      </c>
    </row>
    <row r="461" spans="1:33" x14ac:dyDescent="0.25">
      <c r="A461" t="str">
        <f>"1396842316"</f>
        <v>1396842316</v>
      </c>
      <c r="B461" t="str">
        <f>"02169102"</f>
        <v>02169102</v>
      </c>
      <c r="C461" t="s">
        <v>2008</v>
      </c>
      <c r="D461" t="s">
        <v>2009</v>
      </c>
      <c r="E461" t="s">
        <v>2008</v>
      </c>
      <c r="G461" t="s">
        <v>195</v>
      </c>
      <c r="H461" t="s">
        <v>196</v>
      </c>
      <c r="J461" t="s">
        <v>197</v>
      </c>
      <c r="L461" t="s">
        <v>166</v>
      </c>
      <c r="M461" t="s">
        <v>167</v>
      </c>
      <c r="R461" t="s">
        <v>2008</v>
      </c>
      <c r="W461" t="s">
        <v>2008</v>
      </c>
      <c r="X461" t="s">
        <v>2010</v>
      </c>
      <c r="Y461" t="s">
        <v>1159</v>
      </c>
      <c r="Z461" t="s">
        <v>110</v>
      </c>
      <c r="AA461" t="str">
        <f>"11377-6241"</f>
        <v>11377-6241</v>
      </c>
      <c r="AB461" t="s">
        <v>172</v>
      </c>
      <c r="AC461" t="s">
        <v>112</v>
      </c>
      <c r="AD461" t="s">
        <v>107</v>
      </c>
      <c r="AE461" t="s">
        <v>113</v>
      </c>
      <c r="AG461" t="s">
        <v>114</v>
      </c>
    </row>
    <row r="462" spans="1:33" x14ac:dyDescent="0.25">
      <c r="A462" t="str">
        <f>"1588895395"</f>
        <v>1588895395</v>
      </c>
      <c r="B462" t="str">
        <f>"03322456"</f>
        <v>03322456</v>
      </c>
      <c r="C462" t="s">
        <v>2011</v>
      </c>
      <c r="D462" t="s">
        <v>2012</v>
      </c>
      <c r="E462" t="s">
        <v>2013</v>
      </c>
      <c r="G462" t="s">
        <v>212</v>
      </c>
      <c r="H462" t="s">
        <v>213</v>
      </c>
      <c r="J462" t="s">
        <v>214</v>
      </c>
      <c r="L462" t="s">
        <v>166</v>
      </c>
      <c r="M462" t="s">
        <v>167</v>
      </c>
      <c r="R462" t="s">
        <v>2011</v>
      </c>
      <c r="W462" t="s">
        <v>2013</v>
      </c>
      <c r="X462" t="s">
        <v>2014</v>
      </c>
      <c r="Y462" t="s">
        <v>325</v>
      </c>
      <c r="Z462" t="s">
        <v>110</v>
      </c>
      <c r="AA462" t="str">
        <f>"10032-5058"</f>
        <v>10032-5058</v>
      </c>
      <c r="AB462" t="s">
        <v>172</v>
      </c>
      <c r="AC462" t="s">
        <v>112</v>
      </c>
      <c r="AD462" t="s">
        <v>107</v>
      </c>
      <c r="AE462" t="s">
        <v>113</v>
      </c>
      <c r="AG462" t="s">
        <v>114</v>
      </c>
    </row>
    <row r="463" spans="1:33" x14ac:dyDescent="0.25">
      <c r="A463" t="str">
        <f>"1487691820"</f>
        <v>1487691820</v>
      </c>
      <c r="B463" t="str">
        <f>"01844619"</f>
        <v>01844619</v>
      </c>
      <c r="C463" t="s">
        <v>2015</v>
      </c>
      <c r="D463" t="s">
        <v>2016</v>
      </c>
      <c r="E463" t="s">
        <v>2017</v>
      </c>
      <c r="G463" t="s">
        <v>273</v>
      </c>
      <c r="H463" t="s">
        <v>274</v>
      </c>
      <c r="J463" t="s">
        <v>275</v>
      </c>
      <c r="L463" t="s">
        <v>117</v>
      </c>
      <c r="M463" t="s">
        <v>107</v>
      </c>
      <c r="R463" t="s">
        <v>2015</v>
      </c>
      <c r="W463" t="s">
        <v>2017</v>
      </c>
      <c r="X463" t="s">
        <v>2018</v>
      </c>
      <c r="Y463" t="s">
        <v>171</v>
      </c>
      <c r="Z463" t="s">
        <v>110</v>
      </c>
      <c r="AA463" t="str">
        <f>"11373-1329"</f>
        <v>11373-1329</v>
      </c>
      <c r="AB463" t="s">
        <v>172</v>
      </c>
      <c r="AC463" t="s">
        <v>112</v>
      </c>
      <c r="AD463" t="s">
        <v>107</v>
      </c>
      <c r="AE463" t="s">
        <v>113</v>
      </c>
      <c r="AG463" t="s">
        <v>114</v>
      </c>
    </row>
    <row r="464" spans="1:33" x14ac:dyDescent="0.25">
      <c r="A464" t="str">
        <f>"1568652014"</f>
        <v>1568652014</v>
      </c>
      <c r="B464" t="str">
        <f>"03793271"</f>
        <v>03793271</v>
      </c>
      <c r="C464" t="s">
        <v>2019</v>
      </c>
      <c r="D464" t="s">
        <v>2020</v>
      </c>
      <c r="E464" t="s">
        <v>2021</v>
      </c>
      <c r="G464" t="s">
        <v>229</v>
      </c>
      <c r="H464" t="s">
        <v>230</v>
      </c>
      <c r="J464" t="s">
        <v>231</v>
      </c>
      <c r="L464" t="s">
        <v>106</v>
      </c>
      <c r="M464" t="s">
        <v>107</v>
      </c>
      <c r="R464" t="s">
        <v>2019</v>
      </c>
      <c r="W464" t="s">
        <v>2021</v>
      </c>
      <c r="X464" t="s">
        <v>234</v>
      </c>
      <c r="Y464" t="s">
        <v>235</v>
      </c>
      <c r="Z464" t="s">
        <v>110</v>
      </c>
      <c r="AA464" t="str">
        <f>"11360-2810"</f>
        <v>11360-2810</v>
      </c>
      <c r="AB464" t="s">
        <v>172</v>
      </c>
      <c r="AC464" t="s">
        <v>112</v>
      </c>
      <c r="AD464" t="s">
        <v>107</v>
      </c>
      <c r="AE464" t="s">
        <v>113</v>
      </c>
      <c r="AG464" t="s">
        <v>114</v>
      </c>
    </row>
    <row r="465" spans="1:33" x14ac:dyDescent="0.25">
      <c r="A465" t="str">
        <f>"1376620807"</f>
        <v>1376620807</v>
      </c>
      <c r="B465" t="str">
        <f>"01125259"</f>
        <v>01125259</v>
      </c>
      <c r="C465" t="s">
        <v>2022</v>
      </c>
      <c r="D465" t="s">
        <v>2023</v>
      </c>
      <c r="E465" t="s">
        <v>2024</v>
      </c>
      <c r="G465" t="s">
        <v>229</v>
      </c>
      <c r="H465" t="s">
        <v>230</v>
      </c>
      <c r="J465" t="s">
        <v>231</v>
      </c>
      <c r="L465" t="s">
        <v>373</v>
      </c>
      <c r="M465" t="s">
        <v>107</v>
      </c>
      <c r="R465" t="s">
        <v>2022</v>
      </c>
      <c r="W465" t="s">
        <v>2024</v>
      </c>
      <c r="X465" t="s">
        <v>234</v>
      </c>
      <c r="Y465" t="s">
        <v>235</v>
      </c>
      <c r="Z465" t="s">
        <v>110</v>
      </c>
      <c r="AA465" t="str">
        <f>"11360-2810"</f>
        <v>11360-2810</v>
      </c>
      <c r="AB465" t="s">
        <v>172</v>
      </c>
      <c r="AC465" t="s">
        <v>112</v>
      </c>
      <c r="AD465" t="s">
        <v>107</v>
      </c>
      <c r="AE465" t="s">
        <v>113</v>
      </c>
      <c r="AG465" t="s">
        <v>114</v>
      </c>
    </row>
    <row r="466" spans="1:33" x14ac:dyDescent="0.25">
      <c r="A466" t="str">
        <f>"1992864698"</f>
        <v>1992864698</v>
      </c>
      <c r="B466" t="str">
        <f>"01215085"</f>
        <v>01215085</v>
      </c>
      <c r="C466" t="s">
        <v>2025</v>
      </c>
      <c r="D466" t="s">
        <v>2026</v>
      </c>
      <c r="E466" t="s">
        <v>2027</v>
      </c>
      <c r="G466" t="s">
        <v>229</v>
      </c>
      <c r="H466" t="s">
        <v>230</v>
      </c>
      <c r="J466" t="s">
        <v>231</v>
      </c>
      <c r="L466" t="s">
        <v>106</v>
      </c>
      <c r="M466" t="s">
        <v>107</v>
      </c>
      <c r="R466" t="s">
        <v>2025</v>
      </c>
      <c r="W466" t="s">
        <v>2027</v>
      </c>
      <c r="X466" t="s">
        <v>2028</v>
      </c>
      <c r="Y466" t="s">
        <v>2029</v>
      </c>
      <c r="Z466" t="s">
        <v>110</v>
      </c>
      <c r="AA466" t="str">
        <f>"10595"</f>
        <v>10595</v>
      </c>
      <c r="AB466" t="s">
        <v>172</v>
      </c>
      <c r="AC466" t="s">
        <v>112</v>
      </c>
      <c r="AD466" t="s">
        <v>107</v>
      </c>
      <c r="AE466" t="s">
        <v>113</v>
      </c>
      <c r="AG466" t="s">
        <v>114</v>
      </c>
    </row>
    <row r="467" spans="1:33" x14ac:dyDescent="0.25">
      <c r="A467" t="str">
        <f>"1851478630"</f>
        <v>1851478630</v>
      </c>
      <c r="B467" t="str">
        <f>"03814931"</f>
        <v>03814931</v>
      </c>
      <c r="C467" t="s">
        <v>2030</v>
      </c>
      <c r="D467" t="s">
        <v>2031</v>
      </c>
      <c r="E467" t="s">
        <v>2032</v>
      </c>
      <c r="G467" t="s">
        <v>229</v>
      </c>
      <c r="H467" t="s">
        <v>230</v>
      </c>
      <c r="J467" t="s">
        <v>231</v>
      </c>
      <c r="L467" t="s">
        <v>106</v>
      </c>
      <c r="M467" t="s">
        <v>107</v>
      </c>
      <c r="R467" t="s">
        <v>2030</v>
      </c>
      <c r="W467" t="s">
        <v>2032</v>
      </c>
      <c r="X467" t="s">
        <v>2033</v>
      </c>
      <c r="Y467" t="s">
        <v>235</v>
      </c>
      <c r="Z467" t="s">
        <v>110</v>
      </c>
      <c r="AA467" t="str">
        <f>"11360-2810"</f>
        <v>11360-2810</v>
      </c>
      <c r="AB467" t="s">
        <v>172</v>
      </c>
      <c r="AC467" t="s">
        <v>112</v>
      </c>
      <c r="AD467" t="s">
        <v>107</v>
      </c>
      <c r="AE467" t="s">
        <v>113</v>
      </c>
      <c r="AG467" t="s">
        <v>114</v>
      </c>
    </row>
    <row r="468" spans="1:33" x14ac:dyDescent="0.25">
      <c r="A468" t="str">
        <f>"1235451287"</f>
        <v>1235451287</v>
      </c>
      <c r="B468" t="str">
        <f>"03197459"</f>
        <v>03197459</v>
      </c>
      <c r="C468" t="s">
        <v>2034</v>
      </c>
      <c r="D468" t="s">
        <v>2035</v>
      </c>
      <c r="E468" t="s">
        <v>2034</v>
      </c>
      <c r="G468" t="s">
        <v>1793</v>
      </c>
      <c r="H468" t="s">
        <v>1794</v>
      </c>
      <c r="J468" t="s">
        <v>1795</v>
      </c>
      <c r="L468" t="s">
        <v>106</v>
      </c>
      <c r="M468" t="s">
        <v>107</v>
      </c>
      <c r="R468" t="s">
        <v>2034</v>
      </c>
      <c r="W468" t="s">
        <v>2034</v>
      </c>
      <c r="X468" t="s">
        <v>2036</v>
      </c>
      <c r="Y468" t="s">
        <v>325</v>
      </c>
      <c r="Z468" t="s">
        <v>110</v>
      </c>
      <c r="AA468" t="str">
        <f>"10033-6837"</f>
        <v>10033-6837</v>
      </c>
      <c r="AB468" t="s">
        <v>172</v>
      </c>
      <c r="AC468" t="s">
        <v>112</v>
      </c>
      <c r="AD468" t="s">
        <v>107</v>
      </c>
      <c r="AE468" t="s">
        <v>113</v>
      </c>
      <c r="AG468" t="s">
        <v>114</v>
      </c>
    </row>
    <row r="469" spans="1:33" x14ac:dyDescent="0.25">
      <c r="A469" t="str">
        <f>"1831406867"</f>
        <v>1831406867</v>
      </c>
      <c r="B469" t="str">
        <f>"03359886"</f>
        <v>03359886</v>
      </c>
      <c r="C469" t="s">
        <v>2037</v>
      </c>
      <c r="D469" t="s">
        <v>2038</v>
      </c>
      <c r="E469" t="s">
        <v>2037</v>
      </c>
      <c r="G469" t="s">
        <v>1793</v>
      </c>
      <c r="H469" t="s">
        <v>1794</v>
      </c>
      <c r="J469" t="s">
        <v>1795</v>
      </c>
      <c r="L469" t="s">
        <v>106</v>
      </c>
      <c r="M469" t="s">
        <v>107</v>
      </c>
      <c r="R469" t="s">
        <v>2037</v>
      </c>
      <c r="W469" t="s">
        <v>2037</v>
      </c>
      <c r="X469" t="s">
        <v>2039</v>
      </c>
      <c r="Y469" t="s">
        <v>264</v>
      </c>
      <c r="Z469" t="s">
        <v>110</v>
      </c>
      <c r="AA469" t="str">
        <f>"11501-3957"</f>
        <v>11501-3957</v>
      </c>
      <c r="AB469" t="s">
        <v>172</v>
      </c>
      <c r="AC469" t="s">
        <v>112</v>
      </c>
      <c r="AD469" t="s">
        <v>107</v>
      </c>
      <c r="AE469" t="s">
        <v>113</v>
      </c>
      <c r="AG469" t="s">
        <v>114</v>
      </c>
    </row>
    <row r="470" spans="1:33" x14ac:dyDescent="0.25">
      <c r="A470" t="str">
        <f>"1275527798"</f>
        <v>1275527798</v>
      </c>
      <c r="B470" t="str">
        <f>"00845336"</f>
        <v>00845336</v>
      </c>
      <c r="C470" t="s">
        <v>2040</v>
      </c>
      <c r="D470" t="s">
        <v>2041</v>
      </c>
      <c r="E470" t="s">
        <v>2042</v>
      </c>
      <c r="G470" t="s">
        <v>1866</v>
      </c>
      <c r="H470" t="s">
        <v>1867</v>
      </c>
      <c r="J470" t="s">
        <v>1868</v>
      </c>
      <c r="L470" t="s">
        <v>166</v>
      </c>
      <c r="M470" t="s">
        <v>107</v>
      </c>
      <c r="R470" t="s">
        <v>2040</v>
      </c>
      <c r="W470" t="s">
        <v>2042</v>
      </c>
      <c r="X470" t="s">
        <v>2043</v>
      </c>
      <c r="Y470" t="s">
        <v>1006</v>
      </c>
      <c r="Z470" t="s">
        <v>110</v>
      </c>
      <c r="AA470" t="str">
        <f>"10305-3498"</f>
        <v>10305-3498</v>
      </c>
      <c r="AB470" t="s">
        <v>172</v>
      </c>
      <c r="AC470" t="s">
        <v>112</v>
      </c>
      <c r="AD470" t="s">
        <v>107</v>
      </c>
      <c r="AE470" t="s">
        <v>113</v>
      </c>
      <c r="AG470" t="s">
        <v>114</v>
      </c>
    </row>
    <row r="471" spans="1:33" x14ac:dyDescent="0.25">
      <c r="A471" t="str">
        <f>"1508904103"</f>
        <v>1508904103</v>
      </c>
      <c r="B471" t="str">
        <f>"01183251"</f>
        <v>01183251</v>
      </c>
      <c r="C471" t="s">
        <v>2044</v>
      </c>
      <c r="D471" t="s">
        <v>2045</v>
      </c>
      <c r="E471" t="s">
        <v>2046</v>
      </c>
      <c r="G471" t="s">
        <v>1155</v>
      </c>
      <c r="H471" t="s">
        <v>1156</v>
      </c>
      <c r="J471" t="s">
        <v>1157</v>
      </c>
      <c r="L471" t="s">
        <v>106</v>
      </c>
      <c r="M471" t="s">
        <v>107</v>
      </c>
      <c r="R471" t="s">
        <v>2044</v>
      </c>
      <c r="W471" t="s">
        <v>2046</v>
      </c>
      <c r="X471" t="s">
        <v>1720</v>
      </c>
      <c r="Y471" t="s">
        <v>325</v>
      </c>
      <c r="Z471" t="s">
        <v>110</v>
      </c>
      <c r="AA471" t="str">
        <f>"10029-4413"</f>
        <v>10029-4413</v>
      </c>
      <c r="AB471" t="s">
        <v>172</v>
      </c>
      <c r="AC471" t="s">
        <v>112</v>
      </c>
      <c r="AD471" t="s">
        <v>107</v>
      </c>
      <c r="AE471" t="s">
        <v>113</v>
      </c>
      <c r="AG471" t="s">
        <v>114</v>
      </c>
    </row>
    <row r="472" spans="1:33" x14ac:dyDescent="0.25">
      <c r="A472" t="str">
        <f>"1841288123"</f>
        <v>1841288123</v>
      </c>
      <c r="B472" t="str">
        <f>"01591428"</f>
        <v>01591428</v>
      </c>
      <c r="C472" t="s">
        <v>2047</v>
      </c>
      <c r="D472" t="s">
        <v>2048</v>
      </c>
      <c r="E472" t="s">
        <v>2049</v>
      </c>
      <c r="G472" t="s">
        <v>1155</v>
      </c>
      <c r="H472" t="s">
        <v>1156</v>
      </c>
      <c r="J472" t="s">
        <v>1157</v>
      </c>
      <c r="L472" t="s">
        <v>106</v>
      </c>
      <c r="M472" t="s">
        <v>107</v>
      </c>
      <c r="R472" t="s">
        <v>2047</v>
      </c>
      <c r="W472" t="s">
        <v>2049</v>
      </c>
      <c r="X472" t="s">
        <v>316</v>
      </c>
      <c r="Y472" t="s">
        <v>183</v>
      </c>
      <c r="Z472" t="s">
        <v>110</v>
      </c>
      <c r="AA472" t="str">
        <f>"10456-3402"</f>
        <v>10456-3402</v>
      </c>
      <c r="AB472" t="s">
        <v>172</v>
      </c>
      <c r="AC472" t="s">
        <v>112</v>
      </c>
      <c r="AD472" t="s">
        <v>107</v>
      </c>
      <c r="AE472" t="s">
        <v>113</v>
      </c>
      <c r="AG472" t="s">
        <v>114</v>
      </c>
    </row>
    <row r="473" spans="1:33" x14ac:dyDescent="0.25">
      <c r="A473" t="str">
        <f>"1386822922"</f>
        <v>1386822922</v>
      </c>
      <c r="B473" t="str">
        <f>"03050479"</f>
        <v>03050479</v>
      </c>
      <c r="C473" t="s">
        <v>2050</v>
      </c>
      <c r="D473" t="s">
        <v>2051</v>
      </c>
      <c r="E473" t="s">
        <v>2050</v>
      </c>
      <c r="G473" t="s">
        <v>1155</v>
      </c>
      <c r="H473" t="s">
        <v>1156</v>
      </c>
      <c r="J473" t="s">
        <v>1157</v>
      </c>
      <c r="L473" t="s">
        <v>166</v>
      </c>
      <c r="M473" t="s">
        <v>167</v>
      </c>
      <c r="R473" t="s">
        <v>2050</v>
      </c>
      <c r="W473" t="s">
        <v>2050</v>
      </c>
      <c r="X473" t="s">
        <v>2052</v>
      </c>
      <c r="Y473" t="s">
        <v>183</v>
      </c>
      <c r="Z473" t="s">
        <v>110</v>
      </c>
      <c r="AA473" t="str">
        <f>"10461-4509"</f>
        <v>10461-4509</v>
      </c>
      <c r="AB473" t="s">
        <v>172</v>
      </c>
      <c r="AC473" t="s">
        <v>112</v>
      </c>
      <c r="AD473" t="s">
        <v>107</v>
      </c>
      <c r="AE473" t="s">
        <v>113</v>
      </c>
      <c r="AG473" t="s">
        <v>114</v>
      </c>
    </row>
    <row r="474" spans="1:33" x14ac:dyDescent="0.25">
      <c r="A474" t="str">
        <f>"1700902236"</f>
        <v>1700902236</v>
      </c>
      <c r="B474" t="str">
        <f>"00814099"</f>
        <v>00814099</v>
      </c>
      <c r="C474" t="s">
        <v>2053</v>
      </c>
      <c r="D474" t="s">
        <v>2054</v>
      </c>
      <c r="E474" t="s">
        <v>2055</v>
      </c>
      <c r="G474" t="s">
        <v>1155</v>
      </c>
      <c r="H474" t="s">
        <v>1156</v>
      </c>
      <c r="J474" t="s">
        <v>1157</v>
      </c>
      <c r="L474" t="s">
        <v>106</v>
      </c>
      <c r="M474" t="s">
        <v>107</v>
      </c>
      <c r="R474" t="s">
        <v>2053</v>
      </c>
      <c r="W474" t="s">
        <v>2055</v>
      </c>
      <c r="X474" t="s">
        <v>2056</v>
      </c>
      <c r="Y474" t="s">
        <v>1159</v>
      </c>
      <c r="Z474" t="s">
        <v>110</v>
      </c>
      <c r="AA474" t="str">
        <f>"11377-3672"</f>
        <v>11377-3672</v>
      </c>
      <c r="AB474" t="s">
        <v>172</v>
      </c>
      <c r="AC474" t="s">
        <v>112</v>
      </c>
      <c r="AD474" t="s">
        <v>107</v>
      </c>
      <c r="AE474" t="s">
        <v>113</v>
      </c>
      <c r="AG474" t="s">
        <v>114</v>
      </c>
    </row>
    <row r="475" spans="1:33" x14ac:dyDescent="0.25">
      <c r="A475" t="str">
        <f>"1922181510"</f>
        <v>1922181510</v>
      </c>
      <c r="B475" t="str">
        <f>"01376907"</f>
        <v>01376907</v>
      </c>
      <c r="C475" t="s">
        <v>2057</v>
      </c>
      <c r="D475" t="s">
        <v>2058</v>
      </c>
      <c r="E475" t="s">
        <v>2059</v>
      </c>
      <c r="G475" t="s">
        <v>1155</v>
      </c>
      <c r="H475" t="s">
        <v>1156</v>
      </c>
      <c r="J475" t="s">
        <v>1157</v>
      </c>
      <c r="L475" t="s">
        <v>117</v>
      </c>
      <c r="M475" t="s">
        <v>107</v>
      </c>
      <c r="R475" t="s">
        <v>2057</v>
      </c>
      <c r="W475" t="s">
        <v>2060</v>
      </c>
      <c r="X475" t="s">
        <v>2061</v>
      </c>
      <c r="Y475" t="s">
        <v>299</v>
      </c>
      <c r="Z475" t="s">
        <v>110</v>
      </c>
      <c r="AA475" t="str">
        <f>"11575-1845"</f>
        <v>11575-1845</v>
      </c>
      <c r="AB475" t="s">
        <v>172</v>
      </c>
      <c r="AC475" t="s">
        <v>112</v>
      </c>
      <c r="AD475" t="s">
        <v>107</v>
      </c>
      <c r="AE475" t="s">
        <v>113</v>
      </c>
      <c r="AG475" t="s">
        <v>114</v>
      </c>
    </row>
    <row r="476" spans="1:33" x14ac:dyDescent="0.25">
      <c r="A476" t="str">
        <f>"1821156936"</f>
        <v>1821156936</v>
      </c>
      <c r="B476" t="str">
        <f>"00730694"</f>
        <v>00730694</v>
      </c>
      <c r="C476" t="s">
        <v>2062</v>
      </c>
      <c r="D476" t="s">
        <v>2063</v>
      </c>
      <c r="E476" t="s">
        <v>2064</v>
      </c>
      <c r="G476" t="s">
        <v>1155</v>
      </c>
      <c r="H476" t="s">
        <v>1156</v>
      </c>
      <c r="J476" t="s">
        <v>1157</v>
      </c>
      <c r="L476" t="s">
        <v>315</v>
      </c>
      <c r="M476" t="s">
        <v>107</v>
      </c>
      <c r="R476" t="s">
        <v>2062</v>
      </c>
      <c r="W476" t="s">
        <v>2064</v>
      </c>
      <c r="X476" t="s">
        <v>2065</v>
      </c>
      <c r="Y476" t="s">
        <v>325</v>
      </c>
      <c r="Z476" t="s">
        <v>110</v>
      </c>
      <c r="AA476" t="str">
        <f>"10023-2788"</f>
        <v>10023-2788</v>
      </c>
      <c r="AB476" t="s">
        <v>172</v>
      </c>
      <c r="AC476" t="s">
        <v>112</v>
      </c>
      <c r="AD476" t="s">
        <v>107</v>
      </c>
      <c r="AE476" t="s">
        <v>113</v>
      </c>
      <c r="AG476" t="s">
        <v>114</v>
      </c>
    </row>
    <row r="477" spans="1:33" x14ac:dyDescent="0.25">
      <c r="A477" t="str">
        <f>"1184652067"</f>
        <v>1184652067</v>
      </c>
      <c r="B477" t="str">
        <f>"01845541"</f>
        <v>01845541</v>
      </c>
      <c r="C477" t="s">
        <v>2066</v>
      </c>
      <c r="D477" t="s">
        <v>2067</v>
      </c>
      <c r="E477" t="s">
        <v>2068</v>
      </c>
      <c r="G477" t="s">
        <v>1155</v>
      </c>
      <c r="H477" t="s">
        <v>1156</v>
      </c>
      <c r="J477" t="s">
        <v>1157</v>
      </c>
      <c r="L477" t="s">
        <v>166</v>
      </c>
      <c r="M477" t="s">
        <v>107</v>
      </c>
      <c r="R477" t="s">
        <v>2066</v>
      </c>
      <c r="W477" t="s">
        <v>2069</v>
      </c>
      <c r="X477" t="s">
        <v>2070</v>
      </c>
      <c r="Y477" t="s">
        <v>240</v>
      </c>
      <c r="Z477" t="s">
        <v>110</v>
      </c>
      <c r="AA477" t="str">
        <f>"11238-6432"</f>
        <v>11238-6432</v>
      </c>
      <c r="AB477" t="s">
        <v>172</v>
      </c>
      <c r="AC477" t="s">
        <v>112</v>
      </c>
      <c r="AD477" t="s">
        <v>107</v>
      </c>
      <c r="AE477" t="s">
        <v>113</v>
      </c>
      <c r="AG477" t="s">
        <v>114</v>
      </c>
    </row>
    <row r="478" spans="1:33" x14ac:dyDescent="0.25">
      <c r="A478" t="str">
        <f>"1184726457"</f>
        <v>1184726457</v>
      </c>
      <c r="B478" t="str">
        <f>"00571077"</f>
        <v>00571077</v>
      </c>
      <c r="C478" t="s">
        <v>2071</v>
      </c>
      <c r="D478" t="s">
        <v>2072</v>
      </c>
      <c r="E478" t="s">
        <v>2073</v>
      </c>
      <c r="G478" t="s">
        <v>1155</v>
      </c>
      <c r="H478" t="s">
        <v>1156</v>
      </c>
      <c r="J478" t="s">
        <v>1157</v>
      </c>
      <c r="L478" t="s">
        <v>166</v>
      </c>
      <c r="M478" t="s">
        <v>107</v>
      </c>
      <c r="R478" t="s">
        <v>2071</v>
      </c>
      <c r="W478" t="s">
        <v>2074</v>
      </c>
      <c r="X478" t="s">
        <v>2075</v>
      </c>
      <c r="Y478" t="s">
        <v>325</v>
      </c>
      <c r="Z478" t="s">
        <v>110</v>
      </c>
      <c r="AA478" t="str">
        <f>"10023-7008"</f>
        <v>10023-7008</v>
      </c>
      <c r="AB478" t="s">
        <v>172</v>
      </c>
      <c r="AC478" t="s">
        <v>112</v>
      </c>
      <c r="AD478" t="s">
        <v>107</v>
      </c>
      <c r="AE478" t="s">
        <v>113</v>
      </c>
      <c r="AG478" t="s">
        <v>114</v>
      </c>
    </row>
    <row r="479" spans="1:33" x14ac:dyDescent="0.25">
      <c r="A479" t="str">
        <f>"1194846238"</f>
        <v>1194846238</v>
      </c>
      <c r="B479" t="str">
        <f>"00537453"</f>
        <v>00537453</v>
      </c>
      <c r="C479" t="s">
        <v>2076</v>
      </c>
      <c r="D479" t="s">
        <v>2077</v>
      </c>
      <c r="E479" t="s">
        <v>2078</v>
      </c>
      <c r="G479" t="s">
        <v>1155</v>
      </c>
      <c r="H479" t="s">
        <v>1156</v>
      </c>
      <c r="J479" t="s">
        <v>1157</v>
      </c>
      <c r="L479" t="s">
        <v>106</v>
      </c>
      <c r="M479" t="s">
        <v>107</v>
      </c>
      <c r="R479" t="s">
        <v>2076</v>
      </c>
      <c r="W479" t="s">
        <v>2078</v>
      </c>
      <c r="Y479" t="s">
        <v>325</v>
      </c>
      <c r="Z479" t="s">
        <v>110</v>
      </c>
      <c r="AA479" t="str">
        <f>"10024-2298"</f>
        <v>10024-2298</v>
      </c>
      <c r="AB479" t="s">
        <v>172</v>
      </c>
      <c r="AC479" t="s">
        <v>112</v>
      </c>
      <c r="AD479" t="s">
        <v>107</v>
      </c>
      <c r="AE479" t="s">
        <v>113</v>
      </c>
      <c r="AG479" t="s">
        <v>114</v>
      </c>
    </row>
    <row r="480" spans="1:33" x14ac:dyDescent="0.25">
      <c r="A480" t="str">
        <f>"1477580165"</f>
        <v>1477580165</v>
      </c>
      <c r="B480" t="str">
        <f>"02574532"</f>
        <v>02574532</v>
      </c>
      <c r="C480" t="s">
        <v>2079</v>
      </c>
      <c r="D480" t="s">
        <v>2080</v>
      </c>
      <c r="E480" t="s">
        <v>2081</v>
      </c>
      <c r="G480" t="s">
        <v>1155</v>
      </c>
      <c r="H480" t="s">
        <v>1156</v>
      </c>
      <c r="J480" t="s">
        <v>1157</v>
      </c>
      <c r="L480" t="s">
        <v>2082</v>
      </c>
      <c r="M480" t="s">
        <v>167</v>
      </c>
      <c r="R480" t="s">
        <v>2079</v>
      </c>
      <c r="W480" t="s">
        <v>2081</v>
      </c>
      <c r="X480" t="s">
        <v>2083</v>
      </c>
      <c r="Y480" t="s">
        <v>183</v>
      </c>
      <c r="Z480" t="s">
        <v>110</v>
      </c>
      <c r="AA480" t="str">
        <f>"10457-2545"</f>
        <v>10457-2545</v>
      </c>
      <c r="AB480" t="s">
        <v>172</v>
      </c>
      <c r="AC480" t="s">
        <v>112</v>
      </c>
      <c r="AD480" t="s">
        <v>107</v>
      </c>
      <c r="AE480" t="s">
        <v>113</v>
      </c>
      <c r="AG480" t="s">
        <v>114</v>
      </c>
    </row>
    <row r="481" spans="1:33" x14ac:dyDescent="0.25">
      <c r="A481" t="str">
        <f>"1336126739"</f>
        <v>1336126739</v>
      </c>
      <c r="B481" t="str">
        <f>"03538218"</f>
        <v>03538218</v>
      </c>
      <c r="C481" t="s">
        <v>2084</v>
      </c>
      <c r="D481" t="s">
        <v>2085</v>
      </c>
      <c r="E481" t="s">
        <v>2086</v>
      </c>
      <c r="G481" t="s">
        <v>1155</v>
      </c>
      <c r="H481" t="s">
        <v>1156</v>
      </c>
      <c r="J481" t="s">
        <v>1157</v>
      </c>
      <c r="L481" t="s">
        <v>215</v>
      </c>
      <c r="M481" t="s">
        <v>167</v>
      </c>
      <c r="R481" t="s">
        <v>2084</v>
      </c>
      <c r="W481" t="s">
        <v>2086</v>
      </c>
      <c r="X481" t="s">
        <v>2087</v>
      </c>
      <c r="Y481" t="s">
        <v>240</v>
      </c>
      <c r="Z481" t="s">
        <v>110</v>
      </c>
      <c r="AA481" t="str">
        <f>"11236-3211"</f>
        <v>11236-3211</v>
      </c>
      <c r="AB481" t="s">
        <v>172</v>
      </c>
      <c r="AC481" t="s">
        <v>112</v>
      </c>
      <c r="AD481" t="s">
        <v>107</v>
      </c>
      <c r="AE481" t="s">
        <v>113</v>
      </c>
      <c r="AG481" t="s">
        <v>114</v>
      </c>
    </row>
    <row r="482" spans="1:33" x14ac:dyDescent="0.25">
      <c r="A482" t="str">
        <f>"1669581807"</f>
        <v>1669581807</v>
      </c>
      <c r="B482" t="str">
        <f>"02251949"</f>
        <v>02251949</v>
      </c>
      <c r="C482" t="s">
        <v>2088</v>
      </c>
      <c r="D482" t="s">
        <v>2089</v>
      </c>
      <c r="E482" t="s">
        <v>2090</v>
      </c>
      <c r="G482" t="s">
        <v>1155</v>
      </c>
      <c r="H482" t="s">
        <v>1156</v>
      </c>
      <c r="J482" t="s">
        <v>1157</v>
      </c>
      <c r="L482" t="s">
        <v>215</v>
      </c>
      <c r="M482" t="s">
        <v>107</v>
      </c>
      <c r="R482" t="s">
        <v>2088</v>
      </c>
      <c r="W482" t="s">
        <v>2090</v>
      </c>
      <c r="X482" t="s">
        <v>2091</v>
      </c>
      <c r="Y482" t="s">
        <v>2092</v>
      </c>
      <c r="Z482" t="s">
        <v>110</v>
      </c>
      <c r="AA482" t="str">
        <f>"12571-1824"</f>
        <v>12571-1824</v>
      </c>
      <c r="AB482" t="s">
        <v>172</v>
      </c>
      <c r="AC482" t="s">
        <v>112</v>
      </c>
      <c r="AD482" t="s">
        <v>107</v>
      </c>
      <c r="AE482" t="s">
        <v>113</v>
      </c>
      <c r="AG482" t="s">
        <v>114</v>
      </c>
    </row>
    <row r="483" spans="1:33" x14ac:dyDescent="0.25">
      <c r="A483" t="str">
        <f>"1457548257"</f>
        <v>1457548257</v>
      </c>
      <c r="B483" t="str">
        <f>"02231047"</f>
        <v>02231047</v>
      </c>
      <c r="C483" t="s">
        <v>2093</v>
      </c>
      <c r="D483" t="s">
        <v>2094</v>
      </c>
      <c r="E483" t="s">
        <v>2095</v>
      </c>
      <c r="G483" t="s">
        <v>1155</v>
      </c>
      <c r="H483" t="s">
        <v>1156</v>
      </c>
      <c r="J483" t="s">
        <v>1157</v>
      </c>
      <c r="L483" t="s">
        <v>117</v>
      </c>
      <c r="M483" t="s">
        <v>107</v>
      </c>
      <c r="R483" t="s">
        <v>2093</v>
      </c>
      <c r="W483" t="s">
        <v>2095</v>
      </c>
      <c r="X483" t="s">
        <v>2096</v>
      </c>
      <c r="Y483" t="s">
        <v>183</v>
      </c>
      <c r="Z483" t="s">
        <v>110</v>
      </c>
      <c r="AA483" t="str">
        <f>"10454-1199"</f>
        <v>10454-1199</v>
      </c>
      <c r="AB483" t="s">
        <v>172</v>
      </c>
      <c r="AC483" t="s">
        <v>112</v>
      </c>
      <c r="AD483" t="s">
        <v>107</v>
      </c>
      <c r="AE483" t="s">
        <v>113</v>
      </c>
      <c r="AG483" t="s">
        <v>114</v>
      </c>
    </row>
    <row r="484" spans="1:33" x14ac:dyDescent="0.25">
      <c r="A484" t="str">
        <f>"1528123585"</f>
        <v>1528123585</v>
      </c>
      <c r="B484" t="str">
        <f>"01110310"</f>
        <v>01110310</v>
      </c>
      <c r="C484" t="s">
        <v>2097</v>
      </c>
      <c r="D484" t="s">
        <v>2098</v>
      </c>
      <c r="E484" t="s">
        <v>2099</v>
      </c>
      <c r="G484" t="s">
        <v>1155</v>
      </c>
      <c r="H484" t="s">
        <v>1156</v>
      </c>
      <c r="J484" t="s">
        <v>1157</v>
      </c>
      <c r="L484" t="s">
        <v>215</v>
      </c>
      <c r="M484" t="s">
        <v>107</v>
      </c>
      <c r="R484" t="s">
        <v>2097</v>
      </c>
      <c r="W484" t="s">
        <v>2099</v>
      </c>
      <c r="X484" t="s">
        <v>2100</v>
      </c>
      <c r="Y484" t="s">
        <v>1006</v>
      </c>
      <c r="Z484" t="s">
        <v>110</v>
      </c>
      <c r="AA484" t="str">
        <f>"10314-4528"</f>
        <v>10314-4528</v>
      </c>
      <c r="AB484" t="s">
        <v>172</v>
      </c>
      <c r="AC484" t="s">
        <v>112</v>
      </c>
      <c r="AD484" t="s">
        <v>107</v>
      </c>
      <c r="AE484" t="s">
        <v>113</v>
      </c>
      <c r="AG484" t="s">
        <v>114</v>
      </c>
    </row>
    <row r="485" spans="1:33" x14ac:dyDescent="0.25">
      <c r="A485" t="str">
        <f>"1003972472"</f>
        <v>1003972472</v>
      </c>
      <c r="B485" t="str">
        <f>"00866853"</f>
        <v>00866853</v>
      </c>
      <c r="C485" t="s">
        <v>2101</v>
      </c>
      <c r="D485" t="s">
        <v>2102</v>
      </c>
      <c r="E485" t="s">
        <v>2103</v>
      </c>
      <c r="G485" t="s">
        <v>1155</v>
      </c>
      <c r="H485" t="s">
        <v>1156</v>
      </c>
      <c r="J485" t="s">
        <v>1157</v>
      </c>
      <c r="L485" t="s">
        <v>215</v>
      </c>
      <c r="M485" t="s">
        <v>107</v>
      </c>
      <c r="R485" t="s">
        <v>2101</v>
      </c>
      <c r="W485" t="s">
        <v>2103</v>
      </c>
      <c r="X485" t="s">
        <v>2104</v>
      </c>
      <c r="Y485" t="s">
        <v>325</v>
      </c>
      <c r="Z485" t="s">
        <v>110</v>
      </c>
      <c r="AA485" t="str">
        <f>"10003-3851"</f>
        <v>10003-3851</v>
      </c>
      <c r="AB485" t="s">
        <v>172</v>
      </c>
      <c r="AC485" t="s">
        <v>112</v>
      </c>
      <c r="AD485" t="s">
        <v>107</v>
      </c>
      <c r="AE485" t="s">
        <v>113</v>
      </c>
      <c r="AG485" t="s">
        <v>114</v>
      </c>
    </row>
    <row r="486" spans="1:33" x14ac:dyDescent="0.25">
      <c r="A486" t="str">
        <f>"1275566382"</f>
        <v>1275566382</v>
      </c>
      <c r="B486" t="str">
        <f>"00856244"</f>
        <v>00856244</v>
      </c>
      <c r="C486" t="s">
        <v>2105</v>
      </c>
      <c r="D486" t="s">
        <v>2106</v>
      </c>
      <c r="E486" t="s">
        <v>2107</v>
      </c>
      <c r="G486" t="s">
        <v>1155</v>
      </c>
      <c r="H486" t="s">
        <v>1156</v>
      </c>
      <c r="J486" t="s">
        <v>1157</v>
      </c>
      <c r="L486" t="s">
        <v>315</v>
      </c>
      <c r="M486" t="s">
        <v>107</v>
      </c>
      <c r="R486" t="s">
        <v>2105</v>
      </c>
      <c r="W486" t="s">
        <v>2107</v>
      </c>
      <c r="X486" t="s">
        <v>2108</v>
      </c>
      <c r="Y486" t="s">
        <v>325</v>
      </c>
      <c r="Z486" t="s">
        <v>110</v>
      </c>
      <c r="AA486" t="str">
        <f>"10065-4885"</f>
        <v>10065-4885</v>
      </c>
      <c r="AB486" t="s">
        <v>172</v>
      </c>
      <c r="AC486" t="s">
        <v>112</v>
      </c>
      <c r="AD486" t="s">
        <v>107</v>
      </c>
      <c r="AE486" t="s">
        <v>113</v>
      </c>
      <c r="AG486" t="s">
        <v>114</v>
      </c>
    </row>
    <row r="487" spans="1:33" x14ac:dyDescent="0.25">
      <c r="A487" t="str">
        <f>"1982754750"</f>
        <v>1982754750</v>
      </c>
      <c r="B487" t="str">
        <f>"00200353"</f>
        <v>00200353</v>
      </c>
      <c r="C487" t="s">
        <v>2109</v>
      </c>
      <c r="D487" t="s">
        <v>2110</v>
      </c>
      <c r="E487" t="s">
        <v>2111</v>
      </c>
      <c r="G487" t="s">
        <v>1155</v>
      </c>
      <c r="H487" t="s">
        <v>1156</v>
      </c>
      <c r="J487" t="s">
        <v>1157</v>
      </c>
      <c r="L487" t="s">
        <v>373</v>
      </c>
      <c r="M487" t="s">
        <v>107</v>
      </c>
      <c r="R487" t="s">
        <v>2109</v>
      </c>
      <c r="W487" t="s">
        <v>2111</v>
      </c>
      <c r="X487" t="s">
        <v>2112</v>
      </c>
      <c r="Y487" t="s">
        <v>240</v>
      </c>
      <c r="Z487" t="s">
        <v>110</v>
      </c>
      <c r="AA487" t="str">
        <f>"11205-3201"</f>
        <v>11205-3201</v>
      </c>
      <c r="AB487" t="s">
        <v>172</v>
      </c>
      <c r="AC487" t="s">
        <v>112</v>
      </c>
      <c r="AD487" t="s">
        <v>107</v>
      </c>
      <c r="AE487" t="s">
        <v>113</v>
      </c>
      <c r="AG487" t="s">
        <v>114</v>
      </c>
    </row>
    <row r="488" spans="1:33" x14ac:dyDescent="0.25">
      <c r="A488" t="str">
        <f>"1720144108"</f>
        <v>1720144108</v>
      </c>
      <c r="B488" t="str">
        <f>"01785895"</f>
        <v>01785895</v>
      </c>
      <c r="C488" t="s">
        <v>2113</v>
      </c>
      <c r="D488" t="s">
        <v>2114</v>
      </c>
      <c r="E488" t="s">
        <v>2115</v>
      </c>
      <c r="G488" t="s">
        <v>1155</v>
      </c>
      <c r="H488" t="s">
        <v>1156</v>
      </c>
      <c r="J488" t="s">
        <v>1157</v>
      </c>
      <c r="L488" t="s">
        <v>106</v>
      </c>
      <c r="M488" t="s">
        <v>107</v>
      </c>
      <c r="R488" t="s">
        <v>2113</v>
      </c>
      <c r="W488" t="s">
        <v>2115</v>
      </c>
      <c r="X488" t="s">
        <v>2104</v>
      </c>
      <c r="Y488" t="s">
        <v>325</v>
      </c>
      <c r="Z488" t="s">
        <v>110</v>
      </c>
      <c r="AA488" t="str">
        <f>"10003-3851"</f>
        <v>10003-3851</v>
      </c>
      <c r="AB488" t="s">
        <v>172</v>
      </c>
      <c r="AC488" t="s">
        <v>112</v>
      </c>
      <c r="AD488" t="s">
        <v>107</v>
      </c>
      <c r="AE488" t="s">
        <v>113</v>
      </c>
      <c r="AG488" t="s">
        <v>114</v>
      </c>
    </row>
    <row r="489" spans="1:33" x14ac:dyDescent="0.25">
      <c r="A489" t="str">
        <f>"1841333945"</f>
        <v>1841333945</v>
      </c>
      <c r="B489" t="str">
        <f>"00356703"</f>
        <v>00356703</v>
      </c>
      <c r="C489" t="s">
        <v>2116</v>
      </c>
      <c r="D489" t="s">
        <v>2117</v>
      </c>
      <c r="E489" t="s">
        <v>2118</v>
      </c>
      <c r="F489">
        <v>112047151</v>
      </c>
      <c r="G489" t="s">
        <v>827</v>
      </c>
      <c r="H489" t="s">
        <v>828</v>
      </c>
      <c r="J489" t="s">
        <v>829</v>
      </c>
      <c r="L489" t="s">
        <v>67</v>
      </c>
      <c r="M489" t="s">
        <v>107</v>
      </c>
      <c r="R489" t="s">
        <v>2116</v>
      </c>
      <c r="W489" t="s">
        <v>2118</v>
      </c>
      <c r="X489" t="s">
        <v>2119</v>
      </c>
      <c r="Y489" t="s">
        <v>481</v>
      </c>
      <c r="Z489" t="s">
        <v>110</v>
      </c>
      <c r="AA489" t="str">
        <f>"11429-2051"</f>
        <v>11429-2051</v>
      </c>
      <c r="AB489" t="s">
        <v>408</v>
      </c>
      <c r="AC489" t="s">
        <v>112</v>
      </c>
      <c r="AD489" t="s">
        <v>107</v>
      </c>
      <c r="AE489" t="s">
        <v>113</v>
      </c>
      <c r="AG489" t="s">
        <v>114</v>
      </c>
    </row>
    <row r="490" spans="1:33" x14ac:dyDescent="0.25">
      <c r="A490" t="str">
        <f>"1821084351"</f>
        <v>1821084351</v>
      </c>
      <c r="B490" t="str">
        <f>"00726201"</f>
        <v>00726201</v>
      </c>
      <c r="C490" t="s">
        <v>2120</v>
      </c>
      <c r="D490" t="s">
        <v>2121</v>
      </c>
      <c r="E490" t="s">
        <v>2122</v>
      </c>
      <c r="G490" t="s">
        <v>163</v>
      </c>
      <c r="H490" t="s">
        <v>164</v>
      </c>
      <c r="J490" t="s">
        <v>165</v>
      </c>
      <c r="L490" t="s">
        <v>166</v>
      </c>
      <c r="M490" t="s">
        <v>107</v>
      </c>
      <c r="R490" t="s">
        <v>2123</v>
      </c>
      <c r="W490" t="s">
        <v>2122</v>
      </c>
      <c r="X490" t="s">
        <v>170</v>
      </c>
      <c r="Y490" t="s">
        <v>171</v>
      </c>
      <c r="Z490" t="s">
        <v>110</v>
      </c>
      <c r="AA490" t="str">
        <f>"11373-5156"</f>
        <v>11373-5156</v>
      </c>
      <c r="AB490" t="s">
        <v>172</v>
      </c>
      <c r="AC490" t="s">
        <v>112</v>
      </c>
      <c r="AD490" t="s">
        <v>107</v>
      </c>
      <c r="AE490" t="s">
        <v>113</v>
      </c>
      <c r="AG490" t="s">
        <v>114</v>
      </c>
    </row>
    <row r="491" spans="1:33" x14ac:dyDescent="0.25">
      <c r="A491" t="str">
        <f>"1124047121"</f>
        <v>1124047121</v>
      </c>
      <c r="B491" t="str">
        <f>"02071456"</f>
        <v>02071456</v>
      </c>
      <c r="C491" t="s">
        <v>2124</v>
      </c>
      <c r="D491" t="s">
        <v>2125</v>
      </c>
      <c r="E491" t="s">
        <v>2126</v>
      </c>
      <c r="G491" t="s">
        <v>2127</v>
      </c>
      <c r="H491" t="s">
        <v>2128</v>
      </c>
      <c r="J491" t="s">
        <v>2129</v>
      </c>
      <c r="L491" t="s">
        <v>166</v>
      </c>
      <c r="M491" t="s">
        <v>167</v>
      </c>
      <c r="R491" t="s">
        <v>2130</v>
      </c>
      <c r="W491" t="s">
        <v>2126</v>
      </c>
      <c r="X491" t="s">
        <v>2131</v>
      </c>
      <c r="Y491" t="s">
        <v>356</v>
      </c>
      <c r="Z491" t="s">
        <v>110</v>
      </c>
      <c r="AA491" t="str">
        <f>"10705-4533"</f>
        <v>10705-4533</v>
      </c>
      <c r="AB491" t="s">
        <v>172</v>
      </c>
      <c r="AC491" t="s">
        <v>112</v>
      </c>
      <c r="AD491" t="s">
        <v>107</v>
      </c>
      <c r="AE491" t="s">
        <v>113</v>
      </c>
      <c r="AG491" t="s">
        <v>114</v>
      </c>
    </row>
    <row r="492" spans="1:33" x14ac:dyDescent="0.25">
      <c r="A492" t="str">
        <f>"1417993387"</f>
        <v>1417993387</v>
      </c>
      <c r="B492" t="str">
        <f>"00308407"</f>
        <v>00308407</v>
      </c>
      <c r="C492" t="s">
        <v>2132</v>
      </c>
      <c r="D492" t="s">
        <v>2133</v>
      </c>
      <c r="E492" t="s">
        <v>2134</v>
      </c>
      <c r="G492" t="s">
        <v>2135</v>
      </c>
      <c r="H492" t="s">
        <v>2136</v>
      </c>
      <c r="I492">
        <v>110</v>
      </c>
      <c r="J492" t="s">
        <v>2137</v>
      </c>
      <c r="L492" t="s">
        <v>405</v>
      </c>
      <c r="M492" t="s">
        <v>167</v>
      </c>
      <c r="R492" t="s">
        <v>2138</v>
      </c>
      <c r="W492" t="s">
        <v>2134</v>
      </c>
      <c r="X492" t="s">
        <v>2139</v>
      </c>
      <c r="Y492" t="s">
        <v>225</v>
      </c>
      <c r="Z492" t="s">
        <v>110</v>
      </c>
      <c r="AA492" t="str">
        <f>"11368-4027"</f>
        <v>11368-4027</v>
      </c>
      <c r="AB492" t="s">
        <v>408</v>
      </c>
      <c r="AC492" t="s">
        <v>112</v>
      </c>
      <c r="AD492" t="s">
        <v>107</v>
      </c>
      <c r="AE492" t="s">
        <v>113</v>
      </c>
      <c r="AG492" t="s">
        <v>114</v>
      </c>
    </row>
    <row r="493" spans="1:33" x14ac:dyDescent="0.25">
      <c r="A493" t="str">
        <f>"1134335946"</f>
        <v>1134335946</v>
      </c>
      <c r="B493" t="str">
        <f>"02884760"</f>
        <v>02884760</v>
      </c>
      <c r="C493" t="s">
        <v>2140</v>
      </c>
      <c r="D493" t="s">
        <v>2141</v>
      </c>
      <c r="E493" t="s">
        <v>2142</v>
      </c>
      <c r="G493" t="s">
        <v>195</v>
      </c>
      <c r="H493" t="s">
        <v>196</v>
      </c>
      <c r="J493" t="s">
        <v>197</v>
      </c>
      <c r="L493" t="s">
        <v>215</v>
      </c>
      <c r="M493" t="s">
        <v>167</v>
      </c>
      <c r="R493" t="s">
        <v>2140</v>
      </c>
      <c r="W493" t="s">
        <v>2142</v>
      </c>
      <c r="X493" t="s">
        <v>2143</v>
      </c>
      <c r="Y493" t="s">
        <v>2144</v>
      </c>
      <c r="Z493" t="s">
        <v>110</v>
      </c>
      <c r="AA493" t="str">
        <f>"13210-1853"</f>
        <v>13210-1853</v>
      </c>
      <c r="AB493" t="s">
        <v>172</v>
      </c>
      <c r="AC493" t="s">
        <v>112</v>
      </c>
      <c r="AD493" t="s">
        <v>107</v>
      </c>
      <c r="AE493" t="s">
        <v>113</v>
      </c>
      <c r="AG493" t="s">
        <v>114</v>
      </c>
    </row>
    <row r="494" spans="1:33" x14ac:dyDescent="0.25">
      <c r="A494" t="str">
        <f>"1598062861"</f>
        <v>1598062861</v>
      </c>
      <c r="B494" t="str">
        <f>"03322781"</f>
        <v>03322781</v>
      </c>
      <c r="C494" t="s">
        <v>2145</v>
      </c>
      <c r="D494" t="s">
        <v>2146</v>
      </c>
      <c r="E494" t="s">
        <v>2147</v>
      </c>
      <c r="G494" t="s">
        <v>736</v>
      </c>
      <c r="H494" t="s">
        <v>737</v>
      </c>
      <c r="I494">
        <v>1108</v>
      </c>
      <c r="J494" t="s">
        <v>738</v>
      </c>
      <c r="L494" t="s">
        <v>106</v>
      </c>
      <c r="M494" t="s">
        <v>107</v>
      </c>
      <c r="R494" t="s">
        <v>2145</v>
      </c>
      <c r="W494" t="s">
        <v>2147</v>
      </c>
      <c r="X494" t="s">
        <v>2148</v>
      </c>
      <c r="Y494" t="s">
        <v>2149</v>
      </c>
      <c r="Z494" t="s">
        <v>110</v>
      </c>
      <c r="AA494" t="str">
        <f>"14905-1629"</f>
        <v>14905-1629</v>
      </c>
      <c r="AB494" t="s">
        <v>172</v>
      </c>
      <c r="AC494" t="s">
        <v>112</v>
      </c>
      <c r="AD494" t="s">
        <v>107</v>
      </c>
      <c r="AE494" t="s">
        <v>113</v>
      </c>
      <c r="AG494" t="s">
        <v>114</v>
      </c>
    </row>
    <row r="495" spans="1:33" x14ac:dyDescent="0.25">
      <c r="A495" t="str">
        <f>"1922004860"</f>
        <v>1922004860</v>
      </c>
      <c r="B495" t="str">
        <f>"00708181"</f>
        <v>00708181</v>
      </c>
      <c r="C495" t="s">
        <v>2150</v>
      </c>
      <c r="D495" t="s">
        <v>2151</v>
      </c>
      <c r="E495" t="s">
        <v>2152</v>
      </c>
      <c r="G495" t="s">
        <v>766</v>
      </c>
      <c r="H495" t="s">
        <v>767</v>
      </c>
      <c r="J495" t="s">
        <v>768</v>
      </c>
      <c r="L495" t="s">
        <v>405</v>
      </c>
      <c r="M495" t="s">
        <v>167</v>
      </c>
      <c r="R495" t="s">
        <v>2153</v>
      </c>
      <c r="W495" t="s">
        <v>2152</v>
      </c>
      <c r="X495" t="s">
        <v>2154</v>
      </c>
      <c r="Y495" t="s">
        <v>240</v>
      </c>
      <c r="Z495" t="s">
        <v>110</v>
      </c>
      <c r="AA495" t="str">
        <f>"11235-2328"</f>
        <v>11235-2328</v>
      </c>
      <c r="AB495" t="s">
        <v>408</v>
      </c>
      <c r="AC495" t="s">
        <v>112</v>
      </c>
      <c r="AD495" t="s">
        <v>107</v>
      </c>
      <c r="AE495" t="s">
        <v>113</v>
      </c>
      <c r="AG495" t="s">
        <v>114</v>
      </c>
    </row>
    <row r="496" spans="1:33" x14ac:dyDescent="0.25">
      <c r="B496" t="str">
        <f>"00848453"</f>
        <v>00848453</v>
      </c>
      <c r="C496" t="s">
        <v>2155</v>
      </c>
      <c r="D496" t="s">
        <v>2156</v>
      </c>
      <c r="E496" t="s">
        <v>2157</v>
      </c>
      <c r="G496" t="s">
        <v>2158</v>
      </c>
      <c r="H496" t="s">
        <v>274</v>
      </c>
      <c r="J496" t="s">
        <v>275</v>
      </c>
      <c r="L496" t="s">
        <v>2159</v>
      </c>
      <c r="M496" t="s">
        <v>167</v>
      </c>
      <c r="W496" t="s">
        <v>2160</v>
      </c>
      <c r="X496" t="s">
        <v>2161</v>
      </c>
      <c r="Y496" t="s">
        <v>1285</v>
      </c>
      <c r="Z496" t="s">
        <v>110</v>
      </c>
      <c r="AA496" t="str">
        <f>"11104-2406"</f>
        <v>11104-2406</v>
      </c>
      <c r="AB496" t="s">
        <v>191</v>
      </c>
      <c r="AC496" t="s">
        <v>112</v>
      </c>
      <c r="AD496" t="s">
        <v>107</v>
      </c>
      <c r="AE496" t="s">
        <v>113</v>
      </c>
      <c r="AG496" t="s">
        <v>114</v>
      </c>
    </row>
    <row r="497" spans="1:33" x14ac:dyDescent="0.25">
      <c r="A497" t="str">
        <f>"1841567864"</f>
        <v>1841567864</v>
      </c>
      <c r="B497" t="str">
        <f>"03432515"</f>
        <v>03432515</v>
      </c>
      <c r="C497" t="s">
        <v>2162</v>
      </c>
      <c r="D497" t="s">
        <v>2163</v>
      </c>
      <c r="E497" t="s">
        <v>2162</v>
      </c>
      <c r="G497" t="s">
        <v>1908</v>
      </c>
      <c r="H497" t="s">
        <v>1276</v>
      </c>
      <c r="I497">
        <v>3132</v>
      </c>
      <c r="J497" t="s">
        <v>1909</v>
      </c>
      <c r="L497" t="s">
        <v>215</v>
      </c>
      <c r="M497" t="s">
        <v>167</v>
      </c>
      <c r="R497" t="s">
        <v>2162</v>
      </c>
      <c r="W497" t="s">
        <v>2162</v>
      </c>
      <c r="X497" t="s">
        <v>2164</v>
      </c>
      <c r="Y497" t="s">
        <v>325</v>
      </c>
      <c r="Z497" t="s">
        <v>110</v>
      </c>
      <c r="AA497" t="str">
        <f>"10011-3601"</f>
        <v>10011-3601</v>
      </c>
      <c r="AB497" t="s">
        <v>172</v>
      </c>
      <c r="AC497" t="s">
        <v>112</v>
      </c>
      <c r="AD497" t="s">
        <v>107</v>
      </c>
      <c r="AE497" t="s">
        <v>113</v>
      </c>
      <c r="AG497" t="s">
        <v>114</v>
      </c>
    </row>
    <row r="498" spans="1:33" x14ac:dyDescent="0.25">
      <c r="A498" t="str">
        <f>"1184759177"</f>
        <v>1184759177</v>
      </c>
      <c r="B498" t="str">
        <f>"03738429"</f>
        <v>03738429</v>
      </c>
      <c r="C498" t="s">
        <v>2165</v>
      </c>
      <c r="D498" t="s">
        <v>2166</v>
      </c>
      <c r="E498" t="s">
        <v>2165</v>
      </c>
      <c r="G498" t="s">
        <v>1908</v>
      </c>
      <c r="H498" t="s">
        <v>1276</v>
      </c>
      <c r="I498">
        <v>3132</v>
      </c>
      <c r="J498" t="s">
        <v>1909</v>
      </c>
      <c r="L498" t="s">
        <v>106</v>
      </c>
      <c r="M498" t="s">
        <v>107</v>
      </c>
      <c r="R498" t="s">
        <v>2165</v>
      </c>
      <c r="W498" t="s">
        <v>2165</v>
      </c>
      <c r="X498" t="s">
        <v>2167</v>
      </c>
      <c r="Y498" t="s">
        <v>647</v>
      </c>
      <c r="Z498" t="s">
        <v>110</v>
      </c>
      <c r="AA498" t="str">
        <f>"11366-1950"</f>
        <v>11366-1950</v>
      </c>
      <c r="AB498" t="s">
        <v>172</v>
      </c>
      <c r="AC498" t="s">
        <v>112</v>
      </c>
      <c r="AD498" t="s">
        <v>107</v>
      </c>
      <c r="AE498" t="s">
        <v>113</v>
      </c>
      <c r="AG498" t="s">
        <v>114</v>
      </c>
    </row>
    <row r="499" spans="1:33" x14ac:dyDescent="0.25">
      <c r="A499" t="str">
        <f>"1427140201"</f>
        <v>1427140201</v>
      </c>
      <c r="B499" t="str">
        <f>"02406875"</f>
        <v>02406875</v>
      </c>
      <c r="C499" t="s">
        <v>2168</v>
      </c>
      <c r="D499" t="s">
        <v>2169</v>
      </c>
      <c r="E499" t="s">
        <v>2168</v>
      </c>
      <c r="G499" t="s">
        <v>1908</v>
      </c>
      <c r="H499" t="s">
        <v>1276</v>
      </c>
      <c r="I499">
        <v>3132</v>
      </c>
      <c r="J499" t="s">
        <v>1909</v>
      </c>
      <c r="L499" t="s">
        <v>166</v>
      </c>
      <c r="M499" t="s">
        <v>167</v>
      </c>
      <c r="R499" t="s">
        <v>2168</v>
      </c>
      <c r="W499" t="s">
        <v>2170</v>
      </c>
      <c r="X499" t="s">
        <v>2171</v>
      </c>
      <c r="Y499" t="s">
        <v>472</v>
      </c>
      <c r="Z499" t="s">
        <v>110</v>
      </c>
      <c r="AA499" t="str">
        <f>"12601-1362"</f>
        <v>12601-1362</v>
      </c>
      <c r="AB499" t="s">
        <v>172</v>
      </c>
      <c r="AC499" t="s">
        <v>112</v>
      </c>
      <c r="AD499" t="s">
        <v>107</v>
      </c>
      <c r="AE499" t="s">
        <v>113</v>
      </c>
      <c r="AG499" t="s">
        <v>114</v>
      </c>
    </row>
    <row r="500" spans="1:33" x14ac:dyDescent="0.25">
      <c r="A500" t="str">
        <f>"1821227935"</f>
        <v>1821227935</v>
      </c>
      <c r="B500" t="str">
        <f>"03529586"</f>
        <v>03529586</v>
      </c>
      <c r="C500" t="s">
        <v>2172</v>
      </c>
      <c r="D500" t="s">
        <v>2173</v>
      </c>
      <c r="E500" t="s">
        <v>2174</v>
      </c>
      <c r="G500" t="s">
        <v>1908</v>
      </c>
      <c r="H500" t="s">
        <v>1276</v>
      </c>
      <c r="I500">
        <v>3132</v>
      </c>
      <c r="J500" t="s">
        <v>1909</v>
      </c>
      <c r="L500" t="s">
        <v>106</v>
      </c>
      <c r="M500" t="s">
        <v>107</v>
      </c>
      <c r="R500" t="s">
        <v>2172</v>
      </c>
      <c r="W500" t="s">
        <v>2174</v>
      </c>
      <c r="X500" t="s">
        <v>2175</v>
      </c>
      <c r="Y500" t="s">
        <v>2176</v>
      </c>
      <c r="Z500" t="s">
        <v>110</v>
      </c>
      <c r="AA500" t="str">
        <f>"12401-4626"</f>
        <v>12401-4626</v>
      </c>
      <c r="AB500" t="s">
        <v>172</v>
      </c>
      <c r="AC500" t="s">
        <v>112</v>
      </c>
      <c r="AD500" t="s">
        <v>107</v>
      </c>
      <c r="AE500" t="s">
        <v>113</v>
      </c>
      <c r="AG500" t="s">
        <v>114</v>
      </c>
    </row>
    <row r="501" spans="1:33" x14ac:dyDescent="0.25">
      <c r="A501" t="str">
        <f>"1386717460"</f>
        <v>1386717460</v>
      </c>
      <c r="B501" t="str">
        <f>"02855750"</f>
        <v>02855750</v>
      </c>
      <c r="C501" t="s">
        <v>2177</v>
      </c>
      <c r="D501" t="s">
        <v>2178</v>
      </c>
      <c r="E501" t="s">
        <v>2177</v>
      </c>
      <c r="G501" t="s">
        <v>1908</v>
      </c>
      <c r="H501" t="s">
        <v>1276</v>
      </c>
      <c r="I501">
        <v>3132</v>
      </c>
      <c r="J501" t="s">
        <v>1909</v>
      </c>
      <c r="L501" t="s">
        <v>106</v>
      </c>
      <c r="M501" t="s">
        <v>107</v>
      </c>
      <c r="R501" t="s">
        <v>2177</v>
      </c>
      <c r="W501" t="s">
        <v>2177</v>
      </c>
      <c r="X501" t="s">
        <v>1279</v>
      </c>
      <c r="Y501" t="s">
        <v>647</v>
      </c>
      <c r="Z501" t="s">
        <v>110</v>
      </c>
      <c r="AA501" t="str">
        <f>"11366-1950"</f>
        <v>11366-1950</v>
      </c>
      <c r="AB501" t="s">
        <v>172</v>
      </c>
      <c r="AC501" t="s">
        <v>112</v>
      </c>
      <c r="AD501" t="s">
        <v>107</v>
      </c>
      <c r="AE501" t="s">
        <v>113</v>
      </c>
      <c r="AG501" t="s">
        <v>114</v>
      </c>
    </row>
    <row r="502" spans="1:33" x14ac:dyDescent="0.25">
      <c r="A502" t="str">
        <f>"1184739237"</f>
        <v>1184739237</v>
      </c>
      <c r="B502" t="str">
        <f>"03093038"</f>
        <v>03093038</v>
      </c>
      <c r="C502" t="s">
        <v>2179</v>
      </c>
      <c r="D502" t="s">
        <v>2180</v>
      </c>
      <c r="E502" t="s">
        <v>2181</v>
      </c>
      <c r="G502" t="s">
        <v>1908</v>
      </c>
      <c r="H502" t="s">
        <v>1276</v>
      </c>
      <c r="I502">
        <v>3132</v>
      </c>
      <c r="J502" t="s">
        <v>1909</v>
      </c>
      <c r="L502" t="s">
        <v>215</v>
      </c>
      <c r="M502" t="s">
        <v>107</v>
      </c>
      <c r="R502" t="s">
        <v>2179</v>
      </c>
      <c r="W502" t="s">
        <v>2182</v>
      </c>
      <c r="X502" t="s">
        <v>506</v>
      </c>
      <c r="Y502" t="s">
        <v>225</v>
      </c>
      <c r="Z502" t="s">
        <v>110</v>
      </c>
      <c r="AA502" t="str">
        <f>"11355-2205"</f>
        <v>11355-2205</v>
      </c>
      <c r="AB502" t="s">
        <v>172</v>
      </c>
      <c r="AC502" t="s">
        <v>112</v>
      </c>
      <c r="AD502" t="s">
        <v>107</v>
      </c>
      <c r="AE502" t="s">
        <v>113</v>
      </c>
      <c r="AG502" t="s">
        <v>114</v>
      </c>
    </row>
    <row r="503" spans="1:33" x14ac:dyDescent="0.25">
      <c r="A503" t="str">
        <f>"1477520468"</f>
        <v>1477520468</v>
      </c>
      <c r="B503" t="str">
        <f>"03700103"</f>
        <v>03700103</v>
      </c>
      <c r="C503" t="s">
        <v>2183</v>
      </c>
      <c r="D503" t="s">
        <v>2184</v>
      </c>
      <c r="E503" t="s">
        <v>2183</v>
      </c>
      <c r="G503" t="s">
        <v>1908</v>
      </c>
      <c r="H503" t="s">
        <v>1276</v>
      </c>
      <c r="I503">
        <v>3132</v>
      </c>
      <c r="J503" t="s">
        <v>1909</v>
      </c>
      <c r="L503" t="s">
        <v>106</v>
      </c>
      <c r="M503" t="s">
        <v>107</v>
      </c>
      <c r="R503" t="s">
        <v>2183</v>
      </c>
      <c r="W503" t="s">
        <v>2183</v>
      </c>
      <c r="X503" t="s">
        <v>1933</v>
      </c>
      <c r="Y503" t="s">
        <v>1934</v>
      </c>
      <c r="Z503" t="s">
        <v>110</v>
      </c>
      <c r="AA503" t="str">
        <f>"12572-3104"</f>
        <v>12572-3104</v>
      </c>
      <c r="AB503" t="s">
        <v>172</v>
      </c>
      <c r="AC503" t="s">
        <v>112</v>
      </c>
      <c r="AD503" t="s">
        <v>107</v>
      </c>
      <c r="AE503" t="s">
        <v>113</v>
      </c>
      <c r="AG503" t="s">
        <v>114</v>
      </c>
    </row>
    <row r="504" spans="1:33" x14ac:dyDescent="0.25">
      <c r="A504" t="str">
        <f>"1174693584"</f>
        <v>1174693584</v>
      </c>
      <c r="B504" t="str">
        <f>"00698884"</f>
        <v>00698884</v>
      </c>
      <c r="C504" t="s">
        <v>2185</v>
      </c>
      <c r="D504" t="s">
        <v>2186</v>
      </c>
      <c r="E504" t="s">
        <v>2187</v>
      </c>
      <c r="G504" t="s">
        <v>1908</v>
      </c>
      <c r="H504" t="s">
        <v>1276</v>
      </c>
      <c r="I504">
        <v>3132</v>
      </c>
      <c r="J504" t="s">
        <v>1909</v>
      </c>
      <c r="L504" t="s">
        <v>315</v>
      </c>
      <c r="M504" t="s">
        <v>167</v>
      </c>
      <c r="R504" t="s">
        <v>2185</v>
      </c>
      <c r="W504" t="s">
        <v>2187</v>
      </c>
      <c r="X504" t="s">
        <v>2188</v>
      </c>
      <c r="Y504" t="s">
        <v>486</v>
      </c>
      <c r="Z504" t="s">
        <v>110</v>
      </c>
      <c r="AA504" t="str">
        <f>"11364-1934"</f>
        <v>11364-1934</v>
      </c>
      <c r="AB504" t="s">
        <v>172</v>
      </c>
      <c r="AC504" t="s">
        <v>112</v>
      </c>
      <c r="AD504" t="s">
        <v>107</v>
      </c>
      <c r="AE504" t="s">
        <v>113</v>
      </c>
      <c r="AG504" t="s">
        <v>114</v>
      </c>
    </row>
    <row r="505" spans="1:33" x14ac:dyDescent="0.25">
      <c r="A505" t="str">
        <f>"1922152636"</f>
        <v>1922152636</v>
      </c>
      <c r="B505" t="str">
        <f>"00703113"</f>
        <v>00703113</v>
      </c>
      <c r="C505" t="s">
        <v>2189</v>
      </c>
      <c r="D505" t="s">
        <v>2190</v>
      </c>
      <c r="E505" t="s">
        <v>2191</v>
      </c>
      <c r="G505" t="s">
        <v>308</v>
      </c>
      <c r="H505" t="s">
        <v>309</v>
      </c>
      <c r="J505" t="s">
        <v>310</v>
      </c>
      <c r="L505" t="s">
        <v>106</v>
      </c>
      <c r="M505" t="s">
        <v>107</v>
      </c>
      <c r="R505" t="s">
        <v>2189</v>
      </c>
      <c r="W505" t="s">
        <v>2191</v>
      </c>
      <c r="X505" t="s">
        <v>2192</v>
      </c>
      <c r="Y505" t="s">
        <v>225</v>
      </c>
      <c r="Z505" t="s">
        <v>110</v>
      </c>
      <c r="AA505" t="str">
        <f>"11355-5343"</f>
        <v>11355-5343</v>
      </c>
      <c r="AB505" t="s">
        <v>172</v>
      </c>
      <c r="AC505" t="s">
        <v>112</v>
      </c>
      <c r="AD505" t="s">
        <v>107</v>
      </c>
      <c r="AE505" t="s">
        <v>113</v>
      </c>
      <c r="AG505" t="s">
        <v>114</v>
      </c>
    </row>
    <row r="506" spans="1:33" x14ac:dyDescent="0.25">
      <c r="A506" t="str">
        <f>"1154395473"</f>
        <v>1154395473</v>
      </c>
      <c r="B506" t="str">
        <f>"02442762"</f>
        <v>02442762</v>
      </c>
      <c r="C506" t="s">
        <v>2193</v>
      </c>
      <c r="D506" t="s">
        <v>2194</v>
      </c>
      <c r="E506" t="s">
        <v>2195</v>
      </c>
      <c r="G506" t="s">
        <v>308</v>
      </c>
      <c r="H506" t="s">
        <v>309</v>
      </c>
      <c r="J506" t="s">
        <v>310</v>
      </c>
      <c r="L506" t="s">
        <v>215</v>
      </c>
      <c r="M506" t="s">
        <v>107</v>
      </c>
      <c r="R506" t="s">
        <v>2193</v>
      </c>
      <c r="W506" t="s">
        <v>2195</v>
      </c>
      <c r="X506" t="s">
        <v>2196</v>
      </c>
      <c r="Y506" t="s">
        <v>1006</v>
      </c>
      <c r="Z506" t="s">
        <v>110</v>
      </c>
      <c r="AA506" t="str">
        <f>"10304-3944"</f>
        <v>10304-3944</v>
      </c>
      <c r="AB506" t="s">
        <v>172</v>
      </c>
      <c r="AC506" t="s">
        <v>112</v>
      </c>
      <c r="AD506" t="s">
        <v>107</v>
      </c>
      <c r="AE506" t="s">
        <v>113</v>
      </c>
      <c r="AG506" t="s">
        <v>114</v>
      </c>
    </row>
    <row r="507" spans="1:33" x14ac:dyDescent="0.25">
      <c r="A507" t="str">
        <f>"1568449213"</f>
        <v>1568449213</v>
      </c>
      <c r="B507" t="str">
        <f>"02567260"</f>
        <v>02567260</v>
      </c>
      <c r="C507" t="s">
        <v>2197</v>
      </c>
      <c r="D507" t="s">
        <v>2198</v>
      </c>
      <c r="E507" t="s">
        <v>2199</v>
      </c>
      <c r="G507" t="s">
        <v>308</v>
      </c>
      <c r="H507" t="s">
        <v>309</v>
      </c>
      <c r="J507" t="s">
        <v>310</v>
      </c>
      <c r="L507" t="s">
        <v>106</v>
      </c>
      <c r="M507" t="s">
        <v>107</v>
      </c>
      <c r="R507" t="s">
        <v>2197</v>
      </c>
      <c r="W507" t="s">
        <v>2199</v>
      </c>
      <c r="X507" t="s">
        <v>2200</v>
      </c>
      <c r="Y507" t="s">
        <v>325</v>
      </c>
      <c r="Z507" t="s">
        <v>110</v>
      </c>
      <c r="AA507" t="str">
        <f>"10019-1147"</f>
        <v>10019-1147</v>
      </c>
      <c r="AB507" t="s">
        <v>172</v>
      </c>
      <c r="AC507" t="s">
        <v>112</v>
      </c>
      <c r="AD507" t="s">
        <v>107</v>
      </c>
      <c r="AE507" t="s">
        <v>113</v>
      </c>
      <c r="AG507" t="s">
        <v>114</v>
      </c>
    </row>
    <row r="508" spans="1:33" x14ac:dyDescent="0.25">
      <c r="A508" t="str">
        <f>"1598731754"</f>
        <v>1598731754</v>
      </c>
      <c r="B508" t="str">
        <f>"00923684"</f>
        <v>00923684</v>
      </c>
      <c r="C508" t="s">
        <v>2201</v>
      </c>
      <c r="D508" t="s">
        <v>2202</v>
      </c>
      <c r="E508" t="s">
        <v>2203</v>
      </c>
      <c r="G508" t="s">
        <v>308</v>
      </c>
      <c r="H508" t="s">
        <v>309</v>
      </c>
      <c r="J508" t="s">
        <v>310</v>
      </c>
      <c r="L508" t="s">
        <v>106</v>
      </c>
      <c r="M508" t="s">
        <v>107</v>
      </c>
      <c r="R508" t="s">
        <v>2201</v>
      </c>
      <c r="W508" t="s">
        <v>2203</v>
      </c>
      <c r="X508" t="s">
        <v>2204</v>
      </c>
      <c r="Y508" t="s">
        <v>2205</v>
      </c>
      <c r="Z508" t="s">
        <v>2206</v>
      </c>
      <c r="AA508" t="str">
        <f>"07112-2027"</f>
        <v>07112-2027</v>
      </c>
      <c r="AB508" t="s">
        <v>172</v>
      </c>
      <c r="AC508" t="s">
        <v>112</v>
      </c>
      <c r="AD508" t="s">
        <v>107</v>
      </c>
      <c r="AE508" t="s">
        <v>113</v>
      </c>
      <c r="AG508" t="s">
        <v>114</v>
      </c>
    </row>
    <row r="509" spans="1:33" x14ac:dyDescent="0.25">
      <c r="A509" t="str">
        <f>"1790810398"</f>
        <v>1790810398</v>
      </c>
      <c r="B509" t="str">
        <f>"02794163"</f>
        <v>02794163</v>
      </c>
      <c r="C509" t="s">
        <v>2207</v>
      </c>
      <c r="D509" t="s">
        <v>2208</v>
      </c>
      <c r="E509" t="s">
        <v>2209</v>
      </c>
      <c r="G509" t="s">
        <v>308</v>
      </c>
      <c r="H509" t="s">
        <v>309</v>
      </c>
      <c r="J509" t="s">
        <v>310</v>
      </c>
      <c r="L509" t="s">
        <v>106</v>
      </c>
      <c r="M509" t="s">
        <v>107</v>
      </c>
      <c r="R509" t="s">
        <v>2207</v>
      </c>
      <c r="W509" t="s">
        <v>2209</v>
      </c>
      <c r="X509" t="s">
        <v>2210</v>
      </c>
      <c r="Y509" t="s">
        <v>183</v>
      </c>
      <c r="Z509" t="s">
        <v>110</v>
      </c>
      <c r="AA509" t="str">
        <f>"10461-2301"</f>
        <v>10461-2301</v>
      </c>
      <c r="AB509" t="s">
        <v>172</v>
      </c>
      <c r="AC509" t="s">
        <v>112</v>
      </c>
      <c r="AD509" t="s">
        <v>107</v>
      </c>
      <c r="AE509" t="s">
        <v>113</v>
      </c>
      <c r="AG509" t="s">
        <v>114</v>
      </c>
    </row>
    <row r="510" spans="1:33" x14ac:dyDescent="0.25">
      <c r="A510" t="str">
        <f>"1851559199"</f>
        <v>1851559199</v>
      </c>
      <c r="B510" t="str">
        <f>"03124825"</f>
        <v>03124825</v>
      </c>
      <c r="C510" t="s">
        <v>2211</v>
      </c>
      <c r="D510" t="s">
        <v>2212</v>
      </c>
      <c r="E510" t="s">
        <v>2213</v>
      </c>
      <c r="G510" t="s">
        <v>308</v>
      </c>
      <c r="H510" t="s">
        <v>309</v>
      </c>
      <c r="J510" t="s">
        <v>310</v>
      </c>
      <c r="L510" t="s">
        <v>106</v>
      </c>
      <c r="M510" t="s">
        <v>107</v>
      </c>
      <c r="R510" t="s">
        <v>2211</v>
      </c>
      <c r="W510" t="s">
        <v>2214</v>
      </c>
      <c r="X510" t="s">
        <v>2215</v>
      </c>
      <c r="Y510" t="s">
        <v>647</v>
      </c>
      <c r="Z510" t="s">
        <v>110</v>
      </c>
      <c r="AA510" t="str">
        <f>"11365-1454"</f>
        <v>11365-1454</v>
      </c>
      <c r="AB510" t="s">
        <v>172</v>
      </c>
      <c r="AC510" t="s">
        <v>112</v>
      </c>
      <c r="AD510" t="s">
        <v>107</v>
      </c>
      <c r="AE510" t="s">
        <v>113</v>
      </c>
      <c r="AG510" t="s">
        <v>114</v>
      </c>
    </row>
    <row r="511" spans="1:33" x14ac:dyDescent="0.25">
      <c r="A511" t="str">
        <f>"1245279272"</f>
        <v>1245279272</v>
      </c>
      <c r="B511" t="str">
        <f>"02800104"</f>
        <v>02800104</v>
      </c>
      <c r="C511" t="s">
        <v>2216</v>
      </c>
      <c r="D511" t="s">
        <v>2217</v>
      </c>
      <c r="E511" t="s">
        <v>2218</v>
      </c>
      <c r="G511" t="s">
        <v>308</v>
      </c>
      <c r="H511" t="s">
        <v>309</v>
      </c>
      <c r="J511" t="s">
        <v>310</v>
      </c>
      <c r="L511" t="s">
        <v>215</v>
      </c>
      <c r="M511" t="s">
        <v>107</v>
      </c>
      <c r="R511" t="s">
        <v>2216</v>
      </c>
      <c r="W511" t="s">
        <v>2218</v>
      </c>
      <c r="X511" t="s">
        <v>2219</v>
      </c>
      <c r="Y511" t="s">
        <v>1253</v>
      </c>
      <c r="Z511" t="s">
        <v>110</v>
      </c>
      <c r="AA511" t="str">
        <f>"11102-2445"</f>
        <v>11102-2445</v>
      </c>
      <c r="AB511" t="s">
        <v>172</v>
      </c>
      <c r="AC511" t="s">
        <v>112</v>
      </c>
      <c r="AD511" t="s">
        <v>107</v>
      </c>
      <c r="AE511" t="s">
        <v>113</v>
      </c>
      <c r="AG511" t="s">
        <v>114</v>
      </c>
    </row>
    <row r="512" spans="1:33" x14ac:dyDescent="0.25">
      <c r="A512" t="str">
        <f>"1629077284"</f>
        <v>1629077284</v>
      </c>
      <c r="B512" t="str">
        <f>"00827358"</f>
        <v>00827358</v>
      </c>
      <c r="C512" t="s">
        <v>2220</v>
      </c>
      <c r="D512" t="s">
        <v>2221</v>
      </c>
      <c r="E512" t="s">
        <v>2222</v>
      </c>
      <c r="G512" t="s">
        <v>308</v>
      </c>
      <c r="H512" t="s">
        <v>309</v>
      </c>
      <c r="J512" t="s">
        <v>310</v>
      </c>
      <c r="L512" t="s">
        <v>215</v>
      </c>
      <c r="M512" t="s">
        <v>107</v>
      </c>
      <c r="R512" t="s">
        <v>2220</v>
      </c>
      <c r="W512" t="s">
        <v>2222</v>
      </c>
      <c r="X512" t="s">
        <v>2223</v>
      </c>
      <c r="Y512" t="s">
        <v>225</v>
      </c>
      <c r="Z512" t="s">
        <v>110</v>
      </c>
      <c r="AA512" t="str">
        <f>"11355-5045"</f>
        <v>11355-5045</v>
      </c>
      <c r="AB512" t="s">
        <v>172</v>
      </c>
      <c r="AC512" t="s">
        <v>112</v>
      </c>
      <c r="AD512" t="s">
        <v>107</v>
      </c>
      <c r="AE512" t="s">
        <v>113</v>
      </c>
      <c r="AG512" t="s">
        <v>114</v>
      </c>
    </row>
    <row r="513" spans="1:35" x14ac:dyDescent="0.25">
      <c r="A513" t="str">
        <f>"1235290206"</f>
        <v>1235290206</v>
      </c>
      <c r="B513" t="str">
        <f>"00314356"</f>
        <v>00314356</v>
      </c>
      <c r="C513" t="s">
        <v>2224</v>
      </c>
      <c r="D513" t="s">
        <v>2225</v>
      </c>
      <c r="E513" t="s">
        <v>2226</v>
      </c>
      <c r="G513" t="s">
        <v>308</v>
      </c>
      <c r="H513" t="s">
        <v>309</v>
      </c>
      <c r="J513" t="s">
        <v>310</v>
      </c>
      <c r="L513" t="s">
        <v>106</v>
      </c>
      <c r="M513" t="s">
        <v>107</v>
      </c>
      <c r="R513" t="s">
        <v>2224</v>
      </c>
      <c r="W513" t="s">
        <v>2226</v>
      </c>
      <c r="X513" t="s">
        <v>311</v>
      </c>
      <c r="Y513" t="s">
        <v>225</v>
      </c>
      <c r="Z513" t="s">
        <v>110</v>
      </c>
      <c r="AA513" t="str">
        <f>"11355-5045"</f>
        <v>11355-5045</v>
      </c>
      <c r="AB513" t="s">
        <v>172</v>
      </c>
      <c r="AC513" t="s">
        <v>112</v>
      </c>
      <c r="AD513" t="s">
        <v>107</v>
      </c>
      <c r="AE513" t="s">
        <v>113</v>
      </c>
      <c r="AG513" t="s">
        <v>114</v>
      </c>
    </row>
    <row r="514" spans="1:35" x14ac:dyDescent="0.25">
      <c r="A514" t="str">
        <f>"1841332871"</f>
        <v>1841332871</v>
      </c>
      <c r="B514" t="str">
        <f>"03391944"</f>
        <v>03391944</v>
      </c>
      <c r="C514" t="s">
        <v>2227</v>
      </c>
      <c r="D514" t="s">
        <v>2228</v>
      </c>
      <c r="E514" t="s">
        <v>2229</v>
      </c>
      <c r="G514" t="s">
        <v>308</v>
      </c>
      <c r="H514" t="s">
        <v>309</v>
      </c>
      <c r="J514" t="s">
        <v>310</v>
      </c>
      <c r="L514" t="s">
        <v>215</v>
      </c>
      <c r="M514" t="s">
        <v>107</v>
      </c>
      <c r="R514" t="s">
        <v>2227</v>
      </c>
      <c r="W514" t="s">
        <v>2229</v>
      </c>
      <c r="X514" t="s">
        <v>311</v>
      </c>
      <c r="Y514" t="s">
        <v>225</v>
      </c>
      <c r="Z514" t="s">
        <v>110</v>
      </c>
      <c r="AA514" t="str">
        <f>"11355-5045"</f>
        <v>11355-5045</v>
      </c>
      <c r="AB514" t="s">
        <v>172</v>
      </c>
      <c r="AC514" t="s">
        <v>112</v>
      </c>
      <c r="AD514" t="s">
        <v>107</v>
      </c>
      <c r="AE514" t="s">
        <v>113</v>
      </c>
      <c r="AG514" t="s">
        <v>114</v>
      </c>
    </row>
    <row r="515" spans="1:35" x14ac:dyDescent="0.25">
      <c r="A515" t="str">
        <f>"1720035108"</f>
        <v>1720035108</v>
      </c>
      <c r="B515" t="str">
        <f>"02797753"</f>
        <v>02797753</v>
      </c>
      <c r="C515" t="s">
        <v>2230</v>
      </c>
      <c r="D515" t="s">
        <v>2231</v>
      </c>
      <c r="E515" t="s">
        <v>2232</v>
      </c>
      <c r="G515" t="s">
        <v>308</v>
      </c>
      <c r="H515" t="s">
        <v>309</v>
      </c>
      <c r="J515" t="s">
        <v>310</v>
      </c>
      <c r="L515" t="s">
        <v>215</v>
      </c>
      <c r="M515" t="s">
        <v>107</v>
      </c>
      <c r="R515" t="s">
        <v>2230</v>
      </c>
      <c r="W515" t="s">
        <v>2232</v>
      </c>
      <c r="X515" t="s">
        <v>2233</v>
      </c>
      <c r="Y515" t="s">
        <v>325</v>
      </c>
      <c r="Z515" t="s">
        <v>110</v>
      </c>
      <c r="AA515" t="str">
        <f>"10016-6402"</f>
        <v>10016-6402</v>
      </c>
      <c r="AB515" t="s">
        <v>172</v>
      </c>
      <c r="AC515" t="s">
        <v>112</v>
      </c>
      <c r="AD515" t="s">
        <v>107</v>
      </c>
      <c r="AE515" t="s">
        <v>113</v>
      </c>
      <c r="AG515" t="s">
        <v>114</v>
      </c>
    </row>
    <row r="516" spans="1:35" x14ac:dyDescent="0.25">
      <c r="A516" t="str">
        <f>"1558593525"</f>
        <v>1558593525</v>
      </c>
      <c r="B516" t="str">
        <f>"03366341"</f>
        <v>03366341</v>
      </c>
      <c r="C516" t="s">
        <v>2234</v>
      </c>
      <c r="D516" t="s">
        <v>2235</v>
      </c>
      <c r="E516" t="s">
        <v>2234</v>
      </c>
      <c r="G516" t="s">
        <v>308</v>
      </c>
      <c r="H516" t="s">
        <v>309</v>
      </c>
      <c r="J516" t="s">
        <v>310</v>
      </c>
      <c r="L516" t="s">
        <v>106</v>
      </c>
      <c r="M516" t="s">
        <v>107</v>
      </c>
      <c r="R516" t="s">
        <v>2234</v>
      </c>
      <c r="W516" t="s">
        <v>2236</v>
      </c>
      <c r="X516" t="s">
        <v>311</v>
      </c>
      <c r="Y516" t="s">
        <v>225</v>
      </c>
      <c r="Z516" t="s">
        <v>110</v>
      </c>
      <c r="AA516" t="str">
        <f>"11355-5045"</f>
        <v>11355-5045</v>
      </c>
      <c r="AB516" t="s">
        <v>172</v>
      </c>
      <c r="AC516" t="s">
        <v>112</v>
      </c>
      <c r="AD516" t="s">
        <v>107</v>
      </c>
      <c r="AE516" t="s">
        <v>113</v>
      </c>
      <c r="AG516" t="s">
        <v>114</v>
      </c>
    </row>
    <row r="517" spans="1:35" x14ac:dyDescent="0.25">
      <c r="A517" t="str">
        <f>"1982832952"</f>
        <v>1982832952</v>
      </c>
      <c r="B517" t="str">
        <f>"03276955"</f>
        <v>03276955</v>
      </c>
      <c r="C517" t="s">
        <v>2237</v>
      </c>
      <c r="D517" t="s">
        <v>2238</v>
      </c>
      <c r="E517" t="s">
        <v>2239</v>
      </c>
      <c r="G517" t="s">
        <v>308</v>
      </c>
      <c r="H517" t="s">
        <v>309</v>
      </c>
      <c r="J517" t="s">
        <v>310</v>
      </c>
      <c r="L517" t="s">
        <v>106</v>
      </c>
      <c r="M517" t="s">
        <v>107</v>
      </c>
      <c r="R517" t="s">
        <v>2237</v>
      </c>
      <c r="W517" t="s">
        <v>2239</v>
      </c>
      <c r="X517" t="s">
        <v>2240</v>
      </c>
      <c r="Y517" t="s">
        <v>647</v>
      </c>
      <c r="Z517" t="s">
        <v>110</v>
      </c>
      <c r="AA517" t="str">
        <f>"11365-1539"</f>
        <v>11365-1539</v>
      </c>
      <c r="AB517" t="s">
        <v>172</v>
      </c>
      <c r="AC517" t="s">
        <v>112</v>
      </c>
      <c r="AD517" t="s">
        <v>107</v>
      </c>
      <c r="AE517" t="s">
        <v>113</v>
      </c>
      <c r="AG517" t="s">
        <v>114</v>
      </c>
    </row>
    <row r="518" spans="1:35" x14ac:dyDescent="0.25">
      <c r="A518" t="str">
        <f>"1578883351"</f>
        <v>1578883351</v>
      </c>
      <c r="B518" t="str">
        <f>"03367062"</f>
        <v>03367062</v>
      </c>
      <c r="C518" t="s">
        <v>2241</v>
      </c>
      <c r="D518" t="s">
        <v>2242</v>
      </c>
      <c r="E518" t="s">
        <v>2243</v>
      </c>
      <c r="G518" t="s">
        <v>308</v>
      </c>
      <c r="H518" t="s">
        <v>309</v>
      </c>
      <c r="J518" t="s">
        <v>310</v>
      </c>
      <c r="L518" t="s">
        <v>106</v>
      </c>
      <c r="M518" t="s">
        <v>107</v>
      </c>
      <c r="R518" t="s">
        <v>2241</v>
      </c>
      <c r="W518" t="s">
        <v>2243</v>
      </c>
      <c r="X518" t="s">
        <v>2244</v>
      </c>
      <c r="Y518" t="s">
        <v>225</v>
      </c>
      <c r="Z518" t="s">
        <v>110</v>
      </c>
      <c r="AA518" t="str">
        <f>"11355-5045"</f>
        <v>11355-5045</v>
      </c>
      <c r="AB518" t="s">
        <v>172</v>
      </c>
      <c r="AC518" t="s">
        <v>112</v>
      </c>
      <c r="AD518" t="s">
        <v>107</v>
      </c>
      <c r="AE518" t="s">
        <v>113</v>
      </c>
      <c r="AG518" t="s">
        <v>114</v>
      </c>
    </row>
    <row r="519" spans="1:35" x14ac:dyDescent="0.25">
      <c r="A519" t="str">
        <f>"1114027182"</f>
        <v>1114027182</v>
      </c>
      <c r="B519" t="str">
        <f>"01296359"</f>
        <v>01296359</v>
      </c>
      <c r="C519" t="s">
        <v>2245</v>
      </c>
      <c r="D519" t="s">
        <v>2246</v>
      </c>
      <c r="E519" t="s">
        <v>2247</v>
      </c>
      <c r="G519" t="s">
        <v>251</v>
      </c>
      <c r="H519" t="s">
        <v>252</v>
      </c>
      <c r="I519">
        <v>215</v>
      </c>
      <c r="J519" t="s">
        <v>253</v>
      </c>
      <c r="L519" t="s">
        <v>215</v>
      </c>
      <c r="M519" t="s">
        <v>107</v>
      </c>
      <c r="R519" t="s">
        <v>2245</v>
      </c>
      <c r="W519" t="s">
        <v>2247</v>
      </c>
      <c r="X519" t="s">
        <v>2248</v>
      </c>
      <c r="Y519" t="s">
        <v>240</v>
      </c>
      <c r="Z519" t="s">
        <v>110</v>
      </c>
      <c r="AA519" t="str">
        <f>"11235-6828"</f>
        <v>11235-6828</v>
      </c>
      <c r="AB519" t="s">
        <v>217</v>
      </c>
      <c r="AC519" t="s">
        <v>112</v>
      </c>
      <c r="AD519" t="s">
        <v>107</v>
      </c>
      <c r="AE519" t="s">
        <v>113</v>
      </c>
      <c r="AG519" t="s">
        <v>114</v>
      </c>
    </row>
    <row r="520" spans="1:35" x14ac:dyDescent="0.25">
      <c r="A520" t="str">
        <f>"1770634933"</f>
        <v>1770634933</v>
      </c>
      <c r="B520" t="str">
        <f>"02603863"</f>
        <v>02603863</v>
      </c>
      <c r="C520" t="s">
        <v>2249</v>
      </c>
      <c r="D520" t="s">
        <v>2250</v>
      </c>
      <c r="E520" t="s">
        <v>2251</v>
      </c>
      <c r="G520" t="s">
        <v>176</v>
      </c>
      <c r="H520" t="s">
        <v>177</v>
      </c>
      <c r="I520">
        <v>3264</v>
      </c>
      <c r="J520" t="s">
        <v>178</v>
      </c>
      <c r="L520" t="s">
        <v>106</v>
      </c>
      <c r="M520" t="s">
        <v>107</v>
      </c>
      <c r="R520" t="s">
        <v>2249</v>
      </c>
      <c r="W520" t="s">
        <v>2251</v>
      </c>
      <c r="X520" t="s">
        <v>556</v>
      </c>
      <c r="Y520" t="s">
        <v>183</v>
      </c>
      <c r="Z520" t="s">
        <v>110</v>
      </c>
      <c r="AA520" t="str">
        <f>"10452-2001"</f>
        <v>10452-2001</v>
      </c>
      <c r="AB520" t="s">
        <v>111</v>
      </c>
      <c r="AC520" t="s">
        <v>112</v>
      </c>
      <c r="AD520" t="s">
        <v>107</v>
      </c>
      <c r="AE520" t="s">
        <v>113</v>
      </c>
      <c r="AG520" t="s">
        <v>114</v>
      </c>
    </row>
    <row r="521" spans="1:35" x14ac:dyDescent="0.25">
      <c r="A521" t="str">
        <f>"1700107554"</f>
        <v>1700107554</v>
      </c>
      <c r="B521" t="str">
        <f>"03619601"</f>
        <v>03619601</v>
      </c>
      <c r="C521" t="s">
        <v>2252</v>
      </c>
      <c r="D521" t="s">
        <v>2253</v>
      </c>
      <c r="E521" t="s">
        <v>2254</v>
      </c>
      <c r="G521" t="s">
        <v>212</v>
      </c>
      <c r="H521" t="s">
        <v>213</v>
      </c>
      <c r="J521" t="s">
        <v>214</v>
      </c>
      <c r="L521" t="s">
        <v>166</v>
      </c>
      <c r="M521" t="s">
        <v>167</v>
      </c>
      <c r="R521" t="s">
        <v>2252</v>
      </c>
      <c r="W521" t="s">
        <v>2254</v>
      </c>
      <c r="X521" t="s">
        <v>450</v>
      </c>
      <c r="Y521" t="s">
        <v>325</v>
      </c>
      <c r="Z521" t="s">
        <v>110</v>
      </c>
      <c r="AA521" t="str">
        <f>"10002-2301"</f>
        <v>10002-2301</v>
      </c>
      <c r="AB521" t="s">
        <v>172</v>
      </c>
      <c r="AC521" t="s">
        <v>112</v>
      </c>
      <c r="AD521" t="s">
        <v>107</v>
      </c>
      <c r="AE521" t="s">
        <v>113</v>
      </c>
      <c r="AG521" t="s">
        <v>114</v>
      </c>
    </row>
    <row r="522" spans="1:35" x14ac:dyDescent="0.25">
      <c r="A522" t="str">
        <f>"1295846061"</f>
        <v>1295846061</v>
      </c>
      <c r="B522" t="str">
        <f>"01466935"</f>
        <v>01466935</v>
      </c>
      <c r="C522" t="s">
        <v>2255</v>
      </c>
      <c r="D522" t="s">
        <v>2256</v>
      </c>
      <c r="E522" t="s">
        <v>2257</v>
      </c>
      <c r="G522" t="s">
        <v>1027</v>
      </c>
      <c r="H522" t="s">
        <v>1028</v>
      </c>
      <c r="J522" t="s">
        <v>1029</v>
      </c>
      <c r="L522" t="s">
        <v>117</v>
      </c>
      <c r="M522" t="s">
        <v>107</v>
      </c>
      <c r="R522" t="s">
        <v>2255</v>
      </c>
      <c r="W522" t="s">
        <v>2257</v>
      </c>
      <c r="Y522" t="s">
        <v>1001</v>
      </c>
      <c r="Z522" t="s">
        <v>110</v>
      </c>
      <c r="AA522" t="str">
        <f>"11691-4423"</f>
        <v>11691-4423</v>
      </c>
      <c r="AB522" t="s">
        <v>172</v>
      </c>
      <c r="AC522" t="s">
        <v>112</v>
      </c>
      <c r="AD522" t="s">
        <v>107</v>
      </c>
      <c r="AE522" t="s">
        <v>113</v>
      </c>
      <c r="AG522" t="s">
        <v>114</v>
      </c>
    </row>
    <row r="523" spans="1:35" x14ac:dyDescent="0.25">
      <c r="A523" t="str">
        <f>"1932124831"</f>
        <v>1932124831</v>
      </c>
      <c r="B523" t="str">
        <f>"00442360"</f>
        <v>00442360</v>
      </c>
      <c r="C523" t="s">
        <v>2258</v>
      </c>
      <c r="D523" t="s">
        <v>2259</v>
      </c>
      <c r="E523" t="s">
        <v>2260</v>
      </c>
      <c r="G523" t="s">
        <v>412</v>
      </c>
      <c r="H523" t="s">
        <v>413</v>
      </c>
      <c r="J523" t="s">
        <v>414</v>
      </c>
      <c r="L523" t="s">
        <v>106</v>
      </c>
      <c r="M523" t="s">
        <v>167</v>
      </c>
      <c r="W523" t="s">
        <v>2260</v>
      </c>
      <c r="X523" t="s">
        <v>2261</v>
      </c>
      <c r="Y523" t="s">
        <v>325</v>
      </c>
      <c r="Z523" t="s">
        <v>110</v>
      </c>
      <c r="AA523" t="str">
        <f>"10010-4616"</f>
        <v>10010-4616</v>
      </c>
      <c r="AB523" t="s">
        <v>172</v>
      </c>
      <c r="AC523" t="s">
        <v>112</v>
      </c>
      <c r="AD523" t="s">
        <v>107</v>
      </c>
      <c r="AE523" t="s">
        <v>113</v>
      </c>
      <c r="AG523" t="s">
        <v>114</v>
      </c>
    </row>
    <row r="524" spans="1:35" x14ac:dyDescent="0.25">
      <c r="A524" t="str">
        <f>"1154332310"</f>
        <v>1154332310</v>
      </c>
      <c r="B524" t="str">
        <f>"01586676"</f>
        <v>01586676</v>
      </c>
      <c r="C524" t="s">
        <v>2262</v>
      </c>
      <c r="D524" t="s">
        <v>2263</v>
      </c>
      <c r="E524" t="s">
        <v>2264</v>
      </c>
      <c r="G524" t="s">
        <v>2135</v>
      </c>
      <c r="H524" t="s">
        <v>2136</v>
      </c>
      <c r="I524">
        <v>110</v>
      </c>
      <c r="J524" t="s">
        <v>2137</v>
      </c>
      <c r="L524" t="s">
        <v>166</v>
      </c>
      <c r="M524" t="s">
        <v>167</v>
      </c>
      <c r="R524" t="s">
        <v>2265</v>
      </c>
      <c r="W524" t="s">
        <v>2266</v>
      </c>
      <c r="X524" t="s">
        <v>2267</v>
      </c>
      <c r="Y524" t="s">
        <v>240</v>
      </c>
      <c r="Z524" t="s">
        <v>110</v>
      </c>
      <c r="AA524" t="str">
        <f>"11215-3609"</f>
        <v>11215-3609</v>
      </c>
      <c r="AB524" t="s">
        <v>172</v>
      </c>
      <c r="AC524" t="s">
        <v>112</v>
      </c>
      <c r="AD524" t="s">
        <v>107</v>
      </c>
      <c r="AE524" t="s">
        <v>113</v>
      </c>
      <c r="AG524" t="s">
        <v>114</v>
      </c>
    </row>
    <row r="525" spans="1:35" x14ac:dyDescent="0.25">
      <c r="A525" t="str">
        <f>"1891775680"</f>
        <v>1891775680</v>
      </c>
      <c r="B525" t="str">
        <f>"02131822"</f>
        <v>02131822</v>
      </c>
      <c r="C525" t="s">
        <v>2268</v>
      </c>
      <c r="D525" t="s">
        <v>2269</v>
      </c>
      <c r="E525" t="s">
        <v>2270</v>
      </c>
      <c r="G525" t="s">
        <v>2135</v>
      </c>
      <c r="H525" t="s">
        <v>2136</v>
      </c>
      <c r="I525">
        <v>110</v>
      </c>
      <c r="J525" t="s">
        <v>2137</v>
      </c>
      <c r="L525" t="s">
        <v>166</v>
      </c>
      <c r="M525" t="s">
        <v>167</v>
      </c>
      <c r="R525" t="s">
        <v>2271</v>
      </c>
      <c r="W525" t="s">
        <v>2270</v>
      </c>
      <c r="X525" t="s">
        <v>1020</v>
      </c>
      <c r="Y525" t="s">
        <v>183</v>
      </c>
      <c r="Z525" t="s">
        <v>110</v>
      </c>
      <c r="AA525" t="str">
        <f>"10457-7606"</f>
        <v>10457-7606</v>
      </c>
      <c r="AB525" t="s">
        <v>172</v>
      </c>
      <c r="AC525" t="s">
        <v>112</v>
      </c>
      <c r="AD525" t="s">
        <v>107</v>
      </c>
      <c r="AE525" t="s">
        <v>113</v>
      </c>
      <c r="AG525" t="s">
        <v>114</v>
      </c>
    </row>
    <row r="526" spans="1:35" x14ac:dyDescent="0.25">
      <c r="A526" t="str">
        <f>"1427255439"</f>
        <v>1427255439</v>
      </c>
      <c r="B526" t="str">
        <f>"02889710"</f>
        <v>02889710</v>
      </c>
      <c r="C526" t="s">
        <v>2272</v>
      </c>
      <c r="D526" t="s">
        <v>2273</v>
      </c>
      <c r="E526" t="s">
        <v>2274</v>
      </c>
      <c r="G526" t="s">
        <v>2135</v>
      </c>
      <c r="H526" t="s">
        <v>2136</v>
      </c>
      <c r="I526">
        <v>110</v>
      </c>
      <c r="J526" t="s">
        <v>2137</v>
      </c>
      <c r="L526" t="s">
        <v>166</v>
      </c>
      <c r="M526" t="s">
        <v>107</v>
      </c>
      <c r="R526" t="s">
        <v>2275</v>
      </c>
      <c r="W526" t="s">
        <v>2274</v>
      </c>
      <c r="X526" t="s">
        <v>1640</v>
      </c>
      <c r="Y526" t="s">
        <v>109</v>
      </c>
      <c r="Z526" t="s">
        <v>110</v>
      </c>
      <c r="AA526" t="str">
        <f>"11374-4333"</f>
        <v>11374-4333</v>
      </c>
      <c r="AB526" t="s">
        <v>172</v>
      </c>
      <c r="AC526" t="s">
        <v>112</v>
      </c>
      <c r="AD526" t="s">
        <v>107</v>
      </c>
      <c r="AE526" t="s">
        <v>113</v>
      </c>
      <c r="AG526" t="s">
        <v>114</v>
      </c>
    </row>
    <row r="527" spans="1:35" x14ac:dyDescent="0.25">
      <c r="A527" t="str">
        <f>"1306851118"</f>
        <v>1306851118</v>
      </c>
      <c r="B527" t="str">
        <f>"02049681"</f>
        <v>02049681</v>
      </c>
      <c r="C527" t="s">
        <v>2276</v>
      </c>
      <c r="D527" t="s">
        <v>2277</v>
      </c>
      <c r="E527" t="s">
        <v>2278</v>
      </c>
      <c r="G527" t="s">
        <v>2135</v>
      </c>
      <c r="H527" t="s">
        <v>2136</v>
      </c>
      <c r="I527">
        <v>110</v>
      </c>
      <c r="J527" t="s">
        <v>2137</v>
      </c>
      <c r="L527" t="s">
        <v>215</v>
      </c>
      <c r="M527" t="s">
        <v>107</v>
      </c>
      <c r="R527" t="s">
        <v>2279</v>
      </c>
      <c r="W527" t="s">
        <v>2278</v>
      </c>
      <c r="X527" t="s">
        <v>2280</v>
      </c>
      <c r="Y527" t="s">
        <v>109</v>
      </c>
      <c r="Z527" t="s">
        <v>110</v>
      </c>
      <c r="AA527" t="str">
        <f>"11374-2501"</f>
        <v>11374-2501</v>
      </c>
      <c r="AB527" t="s">
        <v>217</v>
      </c>
      <c r="AC527" t="s">
        <v>112</v>
      </c>
      <c r="AD527" t="s">
        <v>107</v>
      </c>
      <c r="AE527" t="s">
        <v>113</v>
      </c>
      <c r="AG527" t="s">
        <v>114</v>
      </c>
    </row>
    <row r="528" spans="1:35" x14ac:dyDescent="0.25">
      <c r="A528" t="str">
        <f>"1831388263"</f>
        <v>1831388263</v>
      </c>
      <c r="C528" t="s">
        <v>2281</v>
      </c>
      <c r="G528" t="s">
        <v>2135</v>
      </c>
      <c r="H528" t="s">
        <v>2136</v>
      </c>
      <c r="I528">
        <v>110</v>
      </c>
      <c r="J528" t="s">
        <v>2137</v>
      </c>
      <c r="K528" t="s">
        <v>372</v>
      </c>
      <c r="L528" t="s">
        <v>373</v>
      </c>
      <c r="M528" t="s">
        <v>107</v>
      </c>
      <c r="R528" t="s">
        <v>2282</v>
      </c>
      <c r="S528" t="s">
        <v>2283</v>
      </c>
      <c r="T528" t="s">
        <v>207</v>
      </c>
      <c r="U528" t="s">
        <v>110</v>
      </c>
      <c r="V528" t="str">
        <f>"113754813"</f>
        <v>113754813</v>
      </c>
      <c r="AC528" t="s">
        <v>112</v>
      </c>
      <c r="AD528" t="s">
        <v>107</v>
      </c>
      <c r="AE528" t="s">
        <v>278</v>
      </c>
      <c r="AG528" t="s">
        <v>114</v>
      </c>
      <c r="AI528" t="s">
        <v>2284</v>
      </c>
    </row>
    <row r="529" spans="1:35" x14ac:dyDescent="0.25">
      <c r="A529" t="str">
        <f>"1407129091"</f>
        <v>1407129091</v>
      </c>
      <c r="C529" t="s">
        <v>2285</v>
      </c>
      <c r="G529" t="s">
        <v>2135</v>
      </c>
      <c r="H529" t="s">
        <v>2136</v>
      </c>
      <c r="I529">
        <v>110</v>
      </c>
      <c r="J529" t="s">
        <v>2137</v>
      </c>
      <c r="K529" t="s">
        <v>372</v>
      </c>
      <c r="L529" t="s">
        <v>373</v>
      </c>
      <c r="M529" t="s">
        <v>107</v>
      </c>
      <c r="R529" t="s">
        <v>2286</v>
      </c>
      <c r="S529" t="s">
        <v>2287</v>
      </c>
      <c r="T529" t="s">
        <v>207</v>
      </c>
      <c r="U529" t="s">
        <v>110</v>
      </c>
      <c r="V529" t="str">
        <f>"11375"</f>
        <v>11375</v>
      </c>
      <c r="AC529" t="s">
        <v>112</v>
      </c>
      <c r="AD529" t="s">
        <v>107</v>
      </c>
      <c r="AE529" t="s">
        <v>278</v>
      </c>
      <c r="AG529" t="s">
        <v>114</v>
      </c>
      <c r="AI529" t="s">
        <v>2284</v>
      </c>
    </row>
    <row r="530" spans="1:35" x14ac:dyDescent="0.25">
      <c r="A530" t="str">
        <f>"1558371591"</f>
        <v>1558371591</v>
      </c>
      <c r="B530" t="str">
        <f>"00306249"</f>
        <v>00306249</v>
      </c>
      <c r="C530" t="s">
        <v>2288</v>
      </c>
      <c r="D530" t="s">
        <v>2289</v>
      </c>
      <c r="E530" t="s">
        <v>2290</v>
      </c>
      <c r="G530" t="s">
        <v>2135</v>
      </c>
      <c r="H530" t="s">
        <v>2136</v>
      </c>
      <c r="I530">
        <v>110</v>
      </c>
      <c r="J530" t="s">
        <v>2137</v>
      </c>
      <c r="L530" t="s">
        <v>215</v>
      </c>
      <c r="M530" t="s">
        <v>107</v>
      </c>
      <c r="R530" t="s">
        <v>2291</v>
      </c>
      <c r="W530" t="s">
        <v>2290</v>
      </c>
      <c r="X530" t="s">
        <v>2292</v>
      </c>
      <c r="Y530" t="s">
        <v>2293</v>
      </c>
      <c r="Z530" t="s">
        <v>110</v>
      </c>
      <c r="AA530" t="str">
        <f>"11415-1511"</f>
        <v>11415-1511</v>
      </c>
      <c r="AB530" t="s">
        <v>172</v>
      </c>
      <c r="AC530" t="s">
        <v>112</v>
      </c>
      <c r="AD530" t="s">
        <v>107</v>
      </c>
      <c r="AE530" t="s">
        <v>113</v>
      </c>
      <c r="AG530" t="s">
        <v>114</v>
      </c>
    </row>
    <row r="531" spans="1:35" x14ac:dyDescent="0.25">
      <c r="A531" t="str">
        <f>"1447329008"</f>
        <v>1447329008</v>
      </c>
      <c r="B531" t="str">
        <f>"01449430"</f>
        <v>01449430</v>
      </c>
      <c r="C531" t="s">
        <v>2294</v>
      </c>
      <c r="D531" t="s">
        <v>2295</v>
      </c>
      <c r="E531" t="s">
        <v>2296</v>
      </c>
      <c r="G531" t="s">
        <v>229</v>
      </c>
      <c r="H531" t="s">
        <v>230</v>
      </c>
      <c r="J531" t="s">
        <v>231</v>
      </c>
      <c r="L531" t="s">
        <v>106</v>
      </c>
      <c r="M531" t="s">
        <v>107</v>
      </c>
      <c r="R531" t="s">
        <v>2294</v>
      </c>
      <c r="W531" t="s">
        <v>2296</v>
      </c>
      <c r="X531" t="s">
        <v>234</v>
      </c>
      <c r="Y531" t="s">
        <v>235</v>
      </c>
      <c r="Z531" t="s">
        <v>110</v>
      </c>
      <c r="AA531" t="str">
        <f>"11360-2810"</f>
        <v>11360-2810</v>
      </c>
      <c r="AB531" t="s">
        <v>172</v>
      </c>
      <c r="AC531" t="s">
        <v>112</v>
      </c>
      <c r="AD531" t="s">
        <v>107</v>
      </c>
      <c r="AE531" t="s">
        <v>113</v>
      </c>
      <c r="AG531" t="s">
        <v>114</v>
      </c>
    </row>
    <row r="532" spans="1:35" x14ac:dyDescent="0.25">
      <c r="A532" t="str">
        <f>"1174670673"</f>
        <v>1174670673</v>
      </c>
      <c r="C532" t="s">
        <v>2297</v>
      </c>
      <c r="G532" t="s">
        <v>229</v>
      </c>
      <c r="H532" t="s">
        <v>230</v>
      </c>
      <c r="J532" t="s">
        <v>231</v>
      </c>
      <c r="K532" t="s">
        <v>276</v>
      </c>
      <c r="L532" t="s">
        <v>373</v>
      </c>
      <c r="M532" t="s">
        <v>107</v>
      </c>
      <c r="R532" t="s">
        <v>2297</v>
      </c>
      <c r="S532" t="s">
        <v>2298</v>
      </c>
      <c r="T532" t="s">
        <v>2299</v>
      </c>
      <c r="U532" t="s">
        <v>2300</v>
      </c>
      <c r="V532" t="str">
        <f>"272155630"</f>
        <v>272155630</v>
      </c>
      <c r="AC532" t="s">
        <v>112</v>
      </c>
      <c r="AD532" t="s">
        <v>107</v>
      </c>
      <c r="AE532" t="s">
        <v>278</v>
      </c>
      <c r="AG532" t="s">
        <v>114</v>
      </c>
    </row>
    <row r="533" spans="1:35" x14ac:dyDescent="0.25">
      <c r="A533" t="str">
        <f>"1053335364"</f>
        <v>1053335364</v>
      </c>
      <c r="B533" t="str">
        <f>"00509999"</f>
        <v>00509999</v>
      </c>
      <c r="C533" t="s">
        <v>2301</v>
      </c>
      <c r="D533" t="s">
        <v>2302</v>
      </c>
      <c r="E533" t="s">
        <v>2303</v>
      </c>
      <c r="G533" t="s">
        <v>308</v>
      </c>
      <c r="H533" t="s">
        <v>309</v>
      </c>
      <c r="J533" t="s">
        <v>310</v>
      </c>
      <c r="L533" t="s">
        <v>215</v>
      </c>
      <c r="M533" t="s">
        <v>107</v>
      </c>
      <c r="R533" t="s">
        <v>2301</v>
      </c>
      <c r="W533" t="s">
        <v>2303</v>
      </c>
      <c r="X533" t="s">
        <v>2304</v>
      </c>
      <c r="Y533" t="s">
        <v>225</v>
      </c>
      <c r="Z533" t="s">
        <v>110</v>
      </c>
      <c r="AA533" t="str">
        <f>"11355-5045"</f>
        <v>11355-5045</v>
      </c>
      <c r="AB533" t="s">
        <v>172</v>
      </c>
      <c r="AC533" t="s">
        <v>112</v>
      </c>
      <c r="AD533" t="s">
        <v>107</v>
      </c>
      <c r="AE533" t="s">
        <v>113</v>
      </c>
      <c r="AG533" t="s">
        <v>114</v>
      </c>
    </row>
    <row r="534" spans="1:35" x14ac:dyDescent="0.25">
      <c r="A534" t="str">
        <f>"1790737740"</f>
        <v>1790737740</v>
      </c>
      <c r="B534" t="str">
        <f>"02578090"</f>
        <v>02578090</v>
      </c>
      <c r="C534" t="s">
        <v>2305</v>
      </c>
      <c r="D534" t="s">
        <v>2306</v>
      </c>
      <c r="E534" t="s">
        <v>2307</v>
      </c>
      <c r="G534" t="s">
        <v>308</v>
      </c>
      <c r="H534" t="s">
        <v>309</v>
      </c>
      <c r="J534" t="s">
        <v>310</v>
      </c>
      <c r="L534" t="s">
        <v>315</v>
      </c>
      <c r="M534" t="s">
        <v>107</v>
      </c>
      <c r="R534" t="s">
        <v>2305</v>
      </c>
      <c r="W534" t="s">
        <v>2307</v>
      </c>
      <c r="X534" t="s">
        <v>2308</v>
      </c>
      <c r="Y534" t="s">
        <v>225</v>
      </c>
      <c r="Z534" t="s">
        <v>110</v>
      </c>
      <c r="AA534" t="str">
        <f>"11355"</f>
        <v>11355</v>
      </c>
      <c r="AB534" t="s">
        <v>172</v>
      </c>
      <c r="AC534" t="s">
        <v>112</v>
      </c>
      <c r="AD534" t="s">
        <v>107</v>
      </c>
      <c r="AE534" t="s">
        <v>113</v>
      </c>
      <c r="AG534" t="s">
        <v>114</v>
      </c>
    </row>
    <row r="535" spans="1:35" x14ac:dyDescent="0.25">
      <c r="A535" t="str">
        <f>"1134227739"</f>
        <v>1134227739</v>
      </c>
      <c r="B535" t="str">
        <f>"02497698"</f>
        <v>02497698</v>
      </c>
      <c r="C535" t="s">
        <v>2309</v>
      </c>
      <c r="D535" t="s">
        <v>2310</v>
      </c>
      <c r="E535" t="s">
        <v>2311</v>
      </c>
      <c r="G535" t="s">
        <v>308</v>
      </c>
      <c r="H535" t="s">
        <v>309</v>
      </c>
      <c r="J535" t="s">
        <v>310</v>
      </c>
      <c r="L535" t="s">
        <v>215</v>
      </c>
      <c r="M535" t="s">
        <v>107</v>
      </c>
      <c r="R535" t="s">
        <v>2309</v>
      </c>
      <c r="W535" t="s">
        <v>2311</v>
      </c>
      <c r="X535" t="s">
        <v>2312</v>
      </c>
      <c r="Y535" t="s">
        <v>2313</v>
      </c>
      <c r="Z535" t="s">
        <v>110</v>
      </c>
      <c r="AA535" t="str">
        <f>"11746-4276"</f>
        <v>11746-4276</v>
      </c>
      <c r="AB535" t="s">
        <v>172</v>
      </c>
      <c r="AC535" t="s">
        <v>112</v>
      </c>
      <c r="AD535" t="s">
        <v>107</v>
      </c>
      <c r="AE535" t="s">
        <v>113</v>
      </c>
      <c r="AG535" t="s">
        <v>114</v>
      </c>
    </row>
    <row r="536" spans="1:35" x14ac:dyDescent="0.25">
      <c r="A536" t="str">
        <f>"1205878287"</f>
        <v>1205878287</v>
      </c>
      <c r="B536" t="str">
        <f>"00208728"</f>
        <v>00208728</v>
      </c>
      <c r="C536" t="s">
        <v>2314</v>
      </c>
      <c r="D536" t="s">
        <v>2315</v>
      </c>
      <c r="E536" t="s">
        <v>2316</v>
      </c>
      <c r="G536" t="s">
        <v>308</v>
      </c>
      <c r="H536" t="s">
        <v>309</v>
      </c>
      <c r="J536" t="s">
        <v>310</v>
      </c>
      <c r="L536" t="s">
        <v>215</v>
      </c>
      <c r="M536" t="s">
        <v>107</v>
      </c>
      <c r="R536" t="s">
        <v>2314</v>
      </c>
      <c r="W536" t="s">
        <v>2316</v>
      </c>
      <c r="X536" t="s">
        <v>2317</v>
      </c>
      <c r="Y536" t="s">
        <v>225</v>
      </c>
      <c r="Z536" t="s">
        <v>110</v>
      </c>
      <c r="AA536" t="str">
        <f>"11355-5045"</f>
        <v>11355-5045</v>
      </c>
      <c r="AB536" t="s">
        <v>172</v>
      </c>
      <c r="AC536" t="s">
        <v>112</v>
      </c>
      <c r="AD536" t="s">
        <v>107</v>
      </c>
      <c r="AE536" t="s">
        <v>113</v>
      </c>
      <c r="AG536" t="s">
        <v>114</v>
      </c>
    </row>
    <row r="537" spans="1:35" x14ac:dyDescent="0.25">
      <c r="A537" t="str">
        <f>"1902867765"</f>
        <v>1902867765</v>
      </c>
      <c r="B537" t="str">
        <f>"00889941"</f>
        <v>00889941</v>
      </c>
      <c r="C537" t="s">
        <v>2318</v>
      </c>
      <c r="D537" t="s">
        <v>2319</v>
      </c>
      <c r="E537" t="s">
        <v>2320</v>
      </c>
      <c r="G537" t="s">
        <v>308</v>
      </c>
      <c r="H537" t="s">
        <v>309</v>
      </c>
      <c r="J537" t="s">
        <v>310</v>
      </c>
      <c r="L537" t="s">
        <v>106</v>
      </c>
      <c r="M537" t="s">
        <v>107</v>
      </c>
      <c r="R537" t="s">
        <v>2318</v>
      </c>
      <c r="W537" t="s">
        <v>2320</v>
      </c>
      <c r="X537" t="s">
        <v>2321</v>
      </c>
      <c r="Y537" t="s">
        <v>240</v>
      </c>
      <c r="Z537" t="s">
        <v>110</v>
      </c>
      <c r="AA537" t="str">
        <f>"11201-5514"</f>
        <v>11201-5514</v>
      </c>
      <c r="AB537" t="s">
        <v>172</v>
      </c>
      <c r="AC537" t="s">
        <v>112</v>
      </c>
      <c r="AD537" t="s">
        <v>107</v>
      </c>
      <c r="AE537" t="s">
        <v>113</v>
      </c>
      <c r="AG537" t="s">
        <v>114</v>
      </c>
    </row>
    <row r="538" spans="1:35" x14ac:dyDescent="0.25">
      <c r="A538" t="str">
        <f>"1508015595"</f>
        <v>1508015595</v>
      </c>
      <c r="B538" t="str">
        <f>"03039503"</f>
        <v>03039503</v>
      </c>
      <c r="C538" t="s">
        <v>2322</v>
      </c>
      <c r="D538" t="s">
        <v>2323</v>
      </c>
      <c r="E538" t="s">
        <v>2322</v>
      </c>
      <c r="G538" t="s">
        <v>308</v>
      </c>
      <c r="H538" t="s">
        <v>309</v>
      </c>
      <c r="J538" t="s">
        <v>310</v>
      </c>
      <c r="L538" t="s">
        <v>106</v>
      </c>
      <c r="M538" t="s">
        <v>107</v>
      </c>
      <c r="R538" t="s">
        <v>2322</v>
      </c>
      <c r="W538" t="s">
        <v>2324</v>
      </c>
      <c r="X538" t="s">
        <v>502</v>
      </c>
      <c r="Y538" t="s">
        <v>225</v>
      </c>
      <c r="Z538" t="s">
        <v>110</v>
      </c>
      <c r="AA538" t="str">
        <f>"11355-5045"</f>
        <v>11355-5045</v>
      </c>
      <c r="AB538" t="s">
        <v>172</v>
      </c>
      <c r="AC538" t="s">
        <v>112</v>
      </c>
      <c r="AD538" t="s">
        <v>107</v>
      </c>
      <c r="AE538" t="s">
        <v>113</v>
      </c>
      <c r="AG538" t="s">
        <v>114</v>
      </c>
    </row>
    <row r="539" spans="1:35" x14ac:dyDescent="0.25">
      <c r="A539" t="str">
        <f>"1245226414"</f>
        <v>1245226414</v>
      </c>
      <c r="B539" t="str">
        <f>"01953539"</f>
        <v>01953539</v>
      </c>
      <c r="C539" t="s">
        <v>2325</v>
      </c>
      <c r="D539" t="s">
        <v>2326</v>
      </c>
      <c r="E539" t="s">
        <v>2327</v>
      </c>
      <c r="G539" t="s">
        <v>308</v>
      </c>
      <c r="H539" t="s">
        <v>309</v>
      </c>
      <c r="J539" t="s">
        <v>310</v>
      </c>
      <c r="L539" t="s">
        <v>106</v>
      </c>
      <c r="M539" t="s">
        <v>107</v>
      </c>
      <c r="R539" t="s">
        <v>2325</v>
      </c>
      <c r="W539" t="s">
        <v>2327</v>
      </c>
      <c r="X539" t="s">
        <v>2328</v>
      </c>
      <c r="Y539" t="s">
        <v>325</v>
      </c>
      <c r="Z539" t="s">
        <v>110</v>
      </c>
      <c r="AA539" t="str">
        <f>"10003-3804"</f>
        <v>10003-3804</v>
      </c>
      <c r="AB539" t="s">
        <v>172</v>
      </c>
      <c r="AC539" t="s">
        <v>112</v>
      </c>
      <c r="AD539" t="s">
        <v>107</v>
      </c>
      <c r="AE539" t="s">
        <v>113</v>
      </c>
      <c r="AG539" t="s">
        <v>114</v>
      </c>
    </row>
    <row r="540" spans="1:35" x14ac:dyDescent="0.25">
      <c r="A540" t="str">
        <f>"1801838545"</f>
        <v>1801838545</v>
      </c>
      <c r="B540" t="str">
        <f>"02140421"</f>
        <v>02140421</v>
      </c>
      <c r="C540" t="s">
        <v>2329</v>
      </c>
      <c r="D540" t="s">
        <v>2330</v>
      </c>
      <c r="E540" t="s">
        <v>2331</v>
      </c>
      <c r="G540" t="s">
        <v>308</v>
      </c>
      <c r="H540" t="s">
        <v>309</v>
      </c>
      <c r="J540" t="s">
        <v>310</v>
      </c>
      <c r="L540" t="s">
        <v>215</v>
      </c>
      <c r="M540" t="s">
        <v>107</v>
      </c>
      <c r="R540" t="s">
        <v>2329</v>
      </c>
      <c r="W540" t="s">
        <v>2331</v>
      </c>
      <c r="X540" t="s">
        <v>2332</v>
      </c>
      <c r="Y540" t="s">
        <v>2333</v>
      </c>
      <c r="Z540" t="s">
        <v>853</v>
      </c>
      <c r="AA540" t="str">
        <f>"06810-6099"</f>
        <v>06810-6099</v>
      </c>
      <c r="AB540" t="s">
        <v>172</v>
      </c>
      <c r="AC540" t="s">
        <v>112</v>
      </c>
      <c r="AD540" t="s">
        <v>107</v>
      </c>
      <c r="AE540" t="s">
        <v>113</v>
      </c>
      <c r="AG540" t="s">
        <v>114</v>
      </c>
    </row>
    <row r="541" spans="1:35" x14ac:dyDescent="0.25">
      <c r="A541" t="str">
        <f>"1891086922"</f>
        <v>1891086922</v>
      </c>
      <c r="B541" t="str">
        <f>"03922805"</f>
        <v>03922805</v>
      </c>
      <c r="C541" t="s">
        <v>2334</v>
      </c>
      <c r="D541" t="s">
        <v>2335</v>
      </c>
      <c r="E541" t="s">
        <v>2336</v>
      </c>
      <c r="G541" t="s">
        <v>308</v>
      </c>
      <c r="H541" t="s">
        <v>309</v>
      </c>
      <c r="J541" t="s">
        <v>310</v>
      </c>
      <c r="L541" t="s">
        <v>215</v>
      </c>
      <c r="M541" t="s">
        <v>107</v>
      </c>
      <c r="R541" t="s">
        <v>2334</v>
      </c>
      <c r="W541" t="s">
        <v>2337</v>
      </c>
      <c r="X541" t="s">
        <v>311</v>
      </c>
      <c r="Y541" t="s">
        <v>225</v>
      </c>
      <c r="Z541" t="s">
        <v>110</v>
      </c>
      <c r="AA541" t="str">
        <f>"11355-5045"</f>
        <v>11355-5045</v>
      </c>
      <c r="AB541" t="s">
        <v>172</v>
      </c>
      <c r="AC541" t="s">
        <v>112</v>
      </c>
      <c r="AD541" t="s">
        <v>107</v>
      </c>
      <c r="AE541" t="s">
        <v>113</v>
      </c>
      <c r="AG541" t="s">
        <v>114</v>
      </c>
    </row>
    <row r="542" spans="1:35" x14ac:dyDescent="0.25">
      <c r="A542" t="str">
        <f>"1043262900"</f>
        <v>1043262900</v>
      </c>
      <c r="B542" t="str">
        <f>"02526805"</f>
        <v>02526805</v>
      </c>
      <c r="C542" t="s">
        <v>2338</v>
      </c>
      <c r="D542" t="s">
        <v>2339</v>
      </c>
      <c r="E542" t="s">
        <v>2340</v>
      </c>
      <c r="G542" t="s">
        <v>308</v>
      </c>
      <c r="H542" t="s">
        <v>309</v>
      </c>
      <c r="J542" t="s">
        <v>310</v>
      </c>
      <c r="L542" t="s">
        <v>106</v>
      </c>
      <c r="M542" t="s">
        <v>107</v>
      </c>
      <c r="R542" t="s">
        <v>2338</v>
      </c>
      <c r="W542" t="s">
        <v>2340</v>
      </c>
      <c r="X542" t="s">
        <v>311</v>
      </c>
      <c r="Y542" t="s">
        <v>225</v>
      </c>
      <c r="Z542" t="s">
        <v>110</v>
      </c>
      <c r="AA542" t="str">
        <f>"11355-5045"</f>
        <v>11355-5045</v>
      </c>
      <c r="AB542" t="s">
        <v>172</v>
      </c>
      <c r="AC542" t="s">
        <v>112</v>
      </c>
      <c r="AD542" t="s">
        <v>107</v>
      </c>
      <c r="AE542" t="s">
        <v>113</v>
      </c>
      <c r="AG542" t="s">
        <v>114</v>
      </c>
    </row>
    <row r="543" spans="1:35" x14ac:dyDescent="0.25">
      <c r="A543" t="str">
        <f>"1962620286"</f>
        <v>1962620286</v>
      </c>
      <c r="B543" t="str">
        <f>"02107413"</f>
        <v>02107413</v>
      </c>
      <c r="C543" t="s">
        <v>2341</v>
      </c>
      <c r="D543" t="s">
        <v>2342</v>
      </c>
      <c r="E543" t="s">
        <v>2343</v>
      </c>
      <c r="G543" t="s">
        <v>308</v>
      </c>
      <c r="H543" t="s">
        <v>309</v>
      </c>
      <c r="J543" t="s">
        <v>310</v>
      </c>
      <c r="L543" t="s">
        <v>215</v>
      </c>
      <c r="M543" t="s">
        <v>107</v>
      </c>
      <c r="R543" t="s">
        <v>2341</v>
      </c>
      <c r="W543" t="s">
        <v>2343</v>
      </c>
      <c r="X543" t="s">
        <v>2344</v>
      </c>
      <c r="Y543" t="s">
        <v>225</v>
      </c>
      <c r="Z543" t="s">
        <v>110</v>
      </c>
      <c r="AA543" t="str">
        <f>"11355-5045"</f>
        <v>11355-5045</v>
      </c>
      <c r="AB543" t="s">
        <v>172</v>
      </c>
      <c r="AC543" t="s">
        <v>112</v>
      </c>
      <c r="AD543" t="s">
        <v>107</v>
      </c>
      <c r="AE543" t="s">
        <v>113</v>
      </c>
      <c r="AG543" t="s">
        <v>114</v>
      </c>
    </row>
    <row r="544" spans="1:35" x14ac:dyDescent="0.25">
      <c r="A544" t="str">
        <f>"1740394204"</f>
        <v>1740394204</v>
      </c>
      <c r="B544" t="str">
        <f>"02208515"</f>
        <v>02208515</v>
      </c>
      <c r="C544" t="s">
        <v>2345</v>
      </c>
      <c r="D544" t="s">
        <v>2346</v>
      </c>
      <c r="E544" t="s">
        <v>2345</v>
      </c>
      <c r="G544" t="s">
        <v>176</v>
      </c>
      <c r="H544" t="s">
        <v>177</v>
      </c>
      <c r="I544">
        <v>3264</v>
      </c>
      <c r="J544" t="s">
        <v>178</v>
      </c>
      <c r="L544" t="s">
        <v>166</v>
      </c>
      <c r="M544" t="s">
        <v>167</v>
      </c>
      <c r="R544" t="s">
        <v>2345</v>
      </c>
      <c r="W544" t="s">
        <v>2345</v>
      </c>
      <c r="X544" t="s">
        <v>2347</v>
      </c>
      <c r="Y544" t="s">
        <v>422</v>
      </c>
      <c r="Z544" t="s">
        <v>110</v>
      </c>
      <c r="AA544" t="str">
        <f>"11435-5022"</f>
        <v>11435-5022</v>
      </c>
      <c r="AB544" t="s">
        <v>172</v>
      </c>
      <c r="AC544" t="s">
        <v>112</v>
      </c>
      <c r="AD544" t="s">
        <v>107</v>
      </c>
      <c r="AE544" t="s">
        <v>113</v>
      </c>
      <c r="AG544" t="s">
        <v>114</v>
      </c>
    </row>
    <row r="545" spans="1:33" x14ac:dyDescent="0.25">
      <c r="A545" t="str">
        <f>"1982959086"</f>
        <v>1982959086</v>
      </c>
      <c r="B545" t="str">
        <f>"03547808"</f>
        <v>03547808</v>
      </c>
      <c r="C545" t="s">
        <v>2348</v>
      </c>
      <c r="D545" t="s">
        <v>2349</v>
      </c>
      <c r="E545" t="s">
        <v>2350</v>
      </c>
      <c r="G545" t="s">
        <v>195</v>
      </c>
      <c r="H545" t="s">
        <v>196</v>
      </c>
      <c r="J545" t="s">
        <v>197</v>
      </c>
      <c r="L545" t="s">
        <v>166</v>
      </c>
      <c r="M545" t="s">
        <v>107</v>
      </c>
      <c r="R545" t="s">
        <v>2348</v>
      </c>
      <c r="W545" t="s">
        <v>2350</v>
      </c>
      <c r="X545" t="s">
        <v>2351</v>
      </c>
      <c r="Y545" t="s">
        <v>325</v>
      </c>
      <c r="Z545" t="s">
        <v>110</v>
      </c>
      <c r="AA545" t="str">
        <f>"10013-5575"</f>
        <v>10013-5575</v>
      </c>
      <c r="AB545" t="s">
        <v>172</v>
      </c>
      <c r="AC545" t="s">
        <v>112</v>
      </c>
      <c r="AD545" t="s">
        <v>107</v>
      </c>
      <c r="AE545" t="s">
        <v>113</v>
      </c>
      <c r="AG545" t="s">
        <v>114</v>
      </c>
    </row>
    <row r="546" spans="1:33" x14ac:dyDescent="0.25">
      <c r="A546" t="str">
        <f>"1437128808"</f>
        <v>1437128808</v>
      </c>
      <c r="B546" t="str">
        <f>"02010548"</f>
        <v>02010548</v>
      </c>
      <c r="C546" t="s">
        <v>2352</v>
      </c>
      <c r="D546" t="s">
        <v>2353</v>
      </c>
      <c r="E546" t="s">
        <v>2354</v>
      </c>
      <c r="G546" t="s">
        <v>251</v>
      </c>
      <c r="H546" t="s">
        <v>252</v>
      </c>
      <c r="I546">
        <v>215</v>
      </c>
      <c r="J546" t="s">
        <v>253</v>
      </c>
      <c r="L546" t="s">
        <v>106</v>
      </c>
      <c r="M546" t="s">
        <v>107</v>
      </c>
      <c r="R546" t="s">
        <v>2352</v>
      </c>
      <c r="W546" t="s">
        <v>2352</v>
      </c>
      <c r="X546" t="s">
        <v>2355</v>
      </c>
      <c r="Y546" t="s">
        <v>325</v>
      </c>
      <c r="Z546" t="s">
        <v>110</v>
      </c>
      <c r="AA546" t="str">
        <f>"10007-3782"</f>
        <v>10007-3782</v>
      </c>
      <c r="AB546" t="s">
        <v>462</v>
      </c>
      <c r="AC546" t="s">
        <v>112</v>
      </c>
      <c r="AD546" t="s">
        <v>107</v>
      </c>
      <c r="AE546" t="s">
        <v>113</v>
      </c>
      <c r="AG546" t="s">
        <v>114</v>
      </c>
    </row>
    <row r="547" spans="1:33" x14ac:dyDescent="0.25">
      <c r="A547" t="str">
        <f>"1154486082"</f>
        <v>1154486082</v>
      </c>
      <c r="B547" t="str">
        <f>"02591055"</f>
        <v>02591055</v>
      </c>
      <c r="C547" t="s">
        <v>2356</v>
      </c>
      <c r="D547" t="s">
        <v>2357</v>
      </c>
      <c r="E547" t="s">
        <v>2358</v>
      </c>
      <c r="G547" t="s">
        <v>176</v>
      </c>
      <c r="H547" t="s">
        <v>177</v>
      </c>
      <c r="I547">
        <v>3264</v>
      </c>
      <c r="J547" t="s">
        <v>178</v>
      </c>
      <c r="L547" t="s">
        <v>166</v>
      </c>
      <c r="M547" t="s">
        <v>167</v>
      </c>
      <c r="R547" t="s">
        <v>2356</v>
      </c>
      <c r="W547" t="s">
        <v>2358</v>
      </c>
      <c r="X547" t="s">
        <v>2359</v>
      </c>
      <c r="Y547" t="s">
        <v>356</v>
      </c>
      <c r="Z547" t="s">
        <v>110</v>
      </c>
      <c r="AA547" t="str">
        <f>"10701-1311"</f>
        <v>10701-1311</v>
      </c>
      <c r="AB547" t="s">
        <v>172</v>
      </c>
      <c r="AC547" t="s">
        <v>112</v>
      </c>
      <c r="AD547" t="s">
        <v>107</v>
      </c>
      <c r="AE547" t="s">
        <v>113</v>
      </c>
      <c r="AG547" t="s">
        <v>114</v>
      </c>
    </row>
    <row r="548" spans="1:33" x14ac:dyDescent="0.25">
      <c r="A548" t="str">
        <f>"1124198643"</f>
        <v>1124198643</v>
      </c>
      <c r="B548" t="str">
        <f>"00204146"</f>
        <v>00204146</v>
      </c>
      <c r="C548" t="s">
        <v>2360</v>
      </c>
      <c r="D548" t="s">
        <v>2361</v>
      </c>
      <c r="E548" t="s">
        <v>2362</v>
      </c>
      <c r="G548" t="s">
        <v>176</v>
      </c>
      <c r="H548" t="s">
        <v>177</v>
      </c>
      <c r="I548">
        <v>3264</v>
      </c>
      <c r="J548" t="s">
        <v>178</v>
      </c>
      <c r="L548" t="s">
        <v>166</v>
      </c>
      <c r="M548" t="s">
        <v>167</v>
      </c>
      <c r="R548" t="s">
        <v>2360</v>
      </c>
      <c r="W548" t="s">
        <v>2363</v>
      </c>
      <c r="X548" t="s">
        <v>2364</v>
      </c>
      <c r="Y548" t="s">
        <v>183</v>
      </c>
      <c r="Z548" t="s">
        <v>110</v>
      </c>
      <c r="AA548" t="str">
        <f>"10452-4050"</f>
        <v>10452-4050</v>
      </c>
      <c r="AB548" t="s">
        <v>172</v>
      </c>
      <c r="AC548" t="s">
        <v>112</v>
      </c>
      <c r="AD548" t="s">
        <v>107</v>
      </c>
      <c r="AE548" t="s">
        <v>113</v>
      </c>
      <c r="AG548" t="s">
        <v>114</v>
      </c>
    </row>
    <row r="549" spans="1:33" x14ac:dyDescent="0.25">
      <c r="A549" t="str">
        <f>"1942436597"</f>
        <v>1942436597</v>
      </c>
      <c r="B549" t="str">
        <f>"03145833"</f>
        <v>03145833</v>
      </c>
      <c r="C549" t="s">
        <v>2365</v>
      </c>
      <c r="D549" t="s">
        <v>2366</v>
      </c>
      <c r="E549" t="s">
        <v>2367</v>
      </c>
      <c r="G549" t="s">
        <v>212</v>
      </c>
      <c r="H549" t="s">
        <v>213</v>
      </c>
      <c r="J549" t="s">
        <v>214</v>
      </c>
      <c r="L549" t="s">
        <v>166</v>
      </c>
      <c r="M549" t="s">
        <v>167</v>
      </c>
      <c r="R549" t="s">
        <v>2365</v>
      </c>
      <c r="W549" t="s">
        <v>2367</v>
      </c>
      <c r="X549" t="s">
        <v>1434</v>
      </c>
      <c r="Y549" t="s">
        <v>240</v>
      </c>
      <c r="Z549" t="s">
        <v>110</v>
      </c>
      <c r="AA549" t="str">
        <f>"11206-5317"</f>
        <v>11206-5317</v>
      </c>
      <c r="AB549" t="s">
        <v>172</v>
      </c>
      <c r="AC549" t="s">
        <v>112</v>
      </c>
      <c r="AD549" t="s">
        <v>107</v>
      </c>
      <c r="AE549" t="s">
        <v>113</v>
      </c>
      <c r="AG549" t="s">
        <v>114</v>
      </c>
    </row>
    <row r="550" spans="1:33" x14ac:dyDescent="0.25">
      <c r="A550" t="str">
        <f>"1548299670"</f>
        <v>1548299670</v>
      </c>
      <c r="B550" t="str">
        <f>"01443952"</f>
        <v>01443952</v>
      </c>
      <c r="C550" t="s">
        <v>2368</v>
      </c>
      <c r="D550" t="s">
        <v>2369</v>
      </c>
      <c r="E550" t="s">
        <v>2370</v>
      </c>
      <c r="G550" t="s">
        <v>736</v>
      </c>
      <c r="H550" t="s">
        <v>737</v>
      </c>
      <c r="I550">
        <v>1108</v>
      </c>
      <c r="J550" t="s">
        <v>738</v>
      </c>
      <c r="L550" t="s">
        <v>166</v>
      </c>
      <c r="M550" t="s">
        <v>107</v>
      </c>
      <c r="R550" t="s">
        <v>2368</v>
      </c>
      <c r="W550" t="s">
        <v>2371</v>
      </c>
      <c r="X550" t="s">
        <v>2372</v>
      </c>
      <c r="Y550" t="s">
        <v>1253</v>
      </c>
      <c r="Z550" t="s">
        <v>110</v>
      </c>
      <c r="AA550" t="str">
        <f>"11102-2448"</f>
        <v>11102-2448</v>
      </c>
      <c r="AB550" t="s">
        <v>172</v>
      </c>
      <c r="AC550" t="s">
        <v>112</v>
      </c>
      <c r="AD550" t="s">
        <v>107</v>
      </c>
      <c r="AE550" t="s">
        <v>113</v>
      </c>
      <c r="AG550" t="s">
        <v>114</v>
      </c>
    </row>
    <row r="551" spans="1:33" x14ac:dyDescent="0.25">
      <c r="A551" t="str">
        <f>"1265595300"</f>
        <v>1265595300</v>
      </c>
      <c r="B551" t="str">
        <f>"02241312"</f>
        <v>02241312</v>
      </c>
      <c r="C551" t="s">
        <v>2373</v>
      </c>
      <c r="D551" t="s">
        <v>2374</v>
      </c>
      <c r="E551" t="s">
        <v>2375</v>
      </c>
      <c r="G551" t="s">
        <v>736</v>
      </c>
      <c r="H551" t="s">
        <v>737</v>
      </c>
      <c r="I551">
        <v>1108</v>
      </c>
      <c r="J551" t="s">
        <v>738</v>
      </c>
      <c r="L551" t="s">
        <v>166</v>
      </c>
      <c r="M551" t="s">
        <v>107</v>
      </c>
      <c r="R551" t="s">
        <v>2373</v>
      </c>
      <c r="W551" t="s">
        <v>2376</v>
      </c>
      <c r="X551" t="s">
        <v>2377</v>
      </c>
      <c r="Y551" t="s">
        <v>325</v>
      </c>
      <c r="Z551" t="s">
        <v>110</v>
      </c>
      <c r="AA551" t="str">
        <f>"10029-6810"</f>
        <v>10029-6810</v>
      </c>
      <c r="AB551" t="s">
        <v>172</v>
      </c>
      <c r="AC551" t="s">
        <v>112</v>
      </c>
      <c r="AD551" t="s">
        <v>107</v>
      </c>
      <c r="AE551" t="s">
        <v>113</v>
      </c>
      <c r="AG551" t="s">
        <v>114</v>
      </c>
    </row>
    <row r="552" spans="1:33" x14ac:dyDescent="0.25">
      <c r="A552" t="str">
        <f>"1780661785"</f>
        <v>1780661785</v>
      </c>
      <c r="B552" t="str">
        <f>"01280840"</f>
        <v>01280840</v>
      </c>
      <c r="C552" t="s">
        <v>2378</v>
      </c>
      <c r="D552" t="s">
        <v>2379</v>
      </c>
      <c r="E552" t="s">
        <v>2380</v>
      </c>
      <c r="G552" t="s">
        <v>736</v>
      </c>
      <c r="H552" t="s">
        <v>737</v>
      </c>
      <c r="I552">
        <v>1108</v>
      </c>
      <c r="J552" t="s">
        <v>738</v>
      </c>
      <c r="L552" t="s">
        <v>405</v>
      </c>
      <c r="M552" t="s">
        <v>167</v>
      </c>
      <c r="R552" t="s">
        <v>2380</v>
      </c>
      <c r="W552" t="s">
        <v>2380</v>
      </c>
      <c r="X552" t="s">
        <v>2381</v>
      </c>
      <c r="Y552" t="s">
        <v>225</v>
      </c>
      <c r="Z552" t="s">
        <v>110</v>
      </c>
      <c r="AA552" t="str">
        <f>"11354-5935"</f>
        <v>11354-5935</v>
      </c>
      <c r="AB552" t="s">
        <v>408</v>
      </c>
      <c r="AC552" t="s">
        <v>112</v>
      </c>
      <c r="AD552" t="s">
        <v>107</v>
      </c>
      <c r="AE552" t="s">
        <v>113</v>
      </c>
      <c r="AG552" t="s">
        <v>114</v>
      </c>
    </row>
    <row r="553" spans="1:33" x14ac:dyDescent="0.25">
      <c r="A553" t="str">
        <f>"1295878577"</f>
        <v>1295878577</v>
      </c>
      <c r="B553" t="str">
        <f>"00244019"</f>
        <v>00244019</v>
      </c>
      <c r="C553" t="s">
        <v>2382</v>
      </c>
      <c r="D553" t="s">
        <v>2383</v>
      </c>
      <c r="E553" t="s">
        <v>2384</v>
      </c>
      <c r="G553" t="s">
        <v>103</v>
      </c>
      <c r="H553" t="s">
        <v>104</v>
      </c>
      <c r="J553" t="s">
        <v>105</v>
      </c>
      <c r="L553" t="s">
        <v>822</v>
      </c>
      <c r="M553" t="s">
        <v>167</v>
      </c>
      <c r="R553" t="s">
        <v>2385</v>
      </c>
      <c r="W553" t="s">
        <v>2384</v>
      </c>
      <c r="X553" t="s">
        <v>2386</v>
      </c>
      <c r="Y553" t="s">
        <v>109</v>
      </c>
      <c r="Z553" t="s">
        <v>110</v>
      </c>
      <c r="AA553" t="str">
        <f>"11374-2240"</f>
        <v>11374-2240</v>
      </c>
      <c r="AB553" t="s">
        <v>191</v>
      </c>
      <c r="AC553" t="s">
        <v>112</v>
      </c>
      <c r="AD553" t="s">
        <v>107</v>
      </c>
      <c r="AE553" t="s">
        <v>113</v>
      </c>
      <c r="AG553" t="s">
        <v>114</v>
      </c>
    </row>
    <row r="554" spans="1:33" x14ac:dyDescent="0.25">
      <c r="A554" t="str">
        <f>"1528145711"</f>
        <v>1528145711</v>
      </c>
      <c r="B554" t="str">
        <f>"03036308"</f>
        <v>03036308</v>
      </c>
      <c r="C554" t="s">
        <v>2387</v>
      </c>
      <c r="D554" t="s">
        <v>2388</v>
      </c>
      <c r="E554" t="s">
        <v>2389</v>
      </c>
      <c r="G554" t="s">
        <v>212</v>
      </c>
      <c r="H554" t="s">
        <v>213</v>
      </c>
      <c r="J554" t="s">
        <v>214</v>
      </c>
      <c r="L554" t="s">
        <v>215</v>
      </c>
      <c r="M554" t="s">
        <v>107</v>
      </c>
      <c r="R554" t="s">
        <v>2387</v>
      </c>
      <c r="W554" t="s">
        <v>2389</v>
      </c>
      <c r="X554" t="s">
        <v>2390</v>
      </c>
      <c r="Y554" t="s">
        <v>240</v>
      </c>
      <c r="Z554" t="s">
        <v>110</v>
      </c>
      <c r="AA554" t="str">
        <f>"11212-7306"</f>
        <v>11212-7306</v>
      </c>
      <c r="AB554" t="s">
        <v>172</v>
      </c>
      <c r="AC554" t="s">
        <v>112</v>
      </c>
      <c r="AD554" t="s">
        <v>107</v>
      </c>
      <c r="AE554" t="s">
        <v>113</v>
      </c>
      <c r="AG554" t="s">
        <v>114</v>
      </c>
    </row>
    <row r="555" spans="1:33" x14ac:dyDescent="0.25">
      <c r="A555" t="str">
        <f>"1437282605"</f>
        <v>1437282605</v>
      </c>
      <c r="B555" t="str">
        <f>"01183206"</f>
        <v>01183206</v>
      </c>
      <c r="C555" t="s">
        <v>2391</v>
      </c>
      <c r="D555" t="s">
        <v>2392</v>
      </c>
      <c r="E555" t="s">
        <v>2393</v>
      </c>
      <c r="G555" t="s">
        <v>176</v>
      </c>
      <c r="H555" t="s">
        <v>177</v>
      </c>
      <c r="I555">
        <v>3264</v>
      </c>
      <c r="J555" t="s">
        <v>178</v>
      </c>
      <c r="L555" t="s">
        <v>166</v>
      </c>
      <c r="M555" t="s">
        <v>107</v>
      </c>
      <c r="R555" t="s">
        <v>2391</v>
      </c>
      <c r="W555" t="s">
        <v>2393</v>
      </c>
      <c r="Y555" t="s">
        <v>325</v>
      </c>
      <c r="Z555" t="s">
        <v>110</v>
      </c>
      <c r="AA555" t="str">
        <f>"10011-8305"</f>
        <v>10011-8305</v>
      </c>
      <c r="AB555" t="s">
        <v>172</v>
      </c>
      <c r="AC555" t="s">
        <v>112</v>
      </c>
      <c r="AD555" t="s">
        <v>107</v>
      </c>
      <c r="AE555" t="s">
        <v>113</v>
      </c>
      <c r="AG555" t="s">
        <v>114</v>
      </c>
    </row>
    <row r="556" spans="1:33" x14ac:dyDescent="0.25">
      <c r="A556" t="str">
        <f>"1649270877"</f>
        <v>1649270877</v>
      </c>
      <c r="B556" t="str">
        <f>"01459250"</f>
        <v>01459250</v>
      </c>
      <c r="C556" t="s">
        <v>2394</v>
      </c>
      <c r="D556" t="s">
        <v>2395</v>
      </c>
      <c r="E556" t="s">
        <v>2396</v>
      </c>
      <c r="G556" t="s">
        <v>212</v>
      </c>
      <c r="H556" t="s">
        <v>213</v>
      </c>
      <c r="J556" t="s">
        <v>214</v>
      </c>
      <c r="L556" t="s">
        <v>166</v>
      </c>
      <c r="M556" t="s">
        <v>167</v>
      </c>
      <c r="R556" t="s">
        <v>2394</v>
      </c>
      <c r="W556" t="s">
        <v>2397</v>
      </c>
      <c r="X556" t="s">
        <v>2398</v>
      </c>
      <c r="Y556" t="s">
        <v>2399</v>
      </c>
      <c r="Z556" t="s">
        <v>110</v>
      </c>
      <c r="AA556" t="str">
        <f>"14850-1342"</f>
        <v>14850-1342</v>
      </c>
      <c r="AB556" t="s">
        <v>172</v>
      </c>
      <c r="AC556" t="s">
        <v>112</v>
      </c>
      <c r="AD556" t="s">
        <v>107</v>
      </c>
      <c r="AE556" t="s">
        <v>113</v>
      </c>
      <c r="AG556" t="s">
        <v>114</v>
      </c>
    </row>
    <row r="557" spans="1:33" x14ac:dyDescent="0.25">
      <c r="A557" t="str">
        <f>"1407054158"</f>
        <v>1407054158</v>
      </c>
      <c r="C557" t="s">
        <v>2400</v>
      </c>
      <c r="G557" t="s">
        <v>869</v>
      </c>
      <c r="H557" t="s">
        <v>870</v>
      </c>
      <c r="J557" t="s">
        <v>871</v>
      </c>
      <c r="K557" t="s">
        <v>2401</v>
      </c>
      <c r="L557" t="s">
        <v>373</v>
      </c>
      <c r="M557" t="s">
        <v>107</v>
      </c>
      <c r="R557" t="s">
        <v>2402</v>
      </c>
      <c r="S557" t="s">
        <v>2403</v>
      </c>
      <c r="T557" t="s">
        <v>109</v>
      </c>
      <c r="U557" t="s">
        <v>110</v>
      </c>
      <c r="V557" t="str">
        <f>"113742742"</f>
        <v>113742742</v>
      </c>
      <c r="AC557" t="s">
        <v>112</v>
      </c>
      <c r="AD557" t="s">
        <v>107</v>
      </c>
      <c r="AE557" t="s">
        <v>278</v>
      </c>
      <c r="AG557" t="s">
        <v>114</v>
      </c>
    </row>
    <row r="558" spans="1:33" x14ac:dyDescent="0.25">
      <c r="A558" t="str">
        <f>"1710936232"</f>
        <v>1710936232</v>
      </c>
      <c r="B558" t="str">
        <f>"02471896"</f>
        <v>02471896</v>
      </c>
      <c r="C558" t="s">
        <v>2404</v>
      </c>
      <c r="D558" t="s">
        <v>2405</v>
      </c>
      <c r="E558" t="s">
        <v>2406</v>
      </c>
      <c r="G558" t="s">
        <v>267</v>
      </c>
      <c r="H558" t="s">
        <v>268</v>
      </c>
      <c r="I558">
        <v>4223</v>
      </c>
      <c r="J558" t="s">
        <v>269</v>
      </c>
      <c r="L558" t="s">
        <v>166</v>
      </c>
      <c r="M558" t="s">
        <v>167</v>
      </c>
      <c r="R558" t="s">
        <v>2404</v>
      </c>
      <c r="W558" t="s">
        <v>2406</v>
      </c>
      <c r="X558" t="s">
        <v>2407</v>
      </c>
      <c r="Y558" t="s">
        <v>207</v>
      </c>
      <c r="Z558" t="s">
        <v>110</v>
      </c>
      <c r="AA558" t="str">
        <f>"11375-4451"</f>
        <v>11375-4451</v>
      </c>
      <c r="AB558" t="s">
        <v>172</v>
      </c>
      <c r="AC558" t="s">
        <v>112</v>
      </c>
      <c r="AD558" t="s">
        <v>107</v>
      </c>
      <c r="AE558" t="s">
        <v>113</v>
      </c>
      <c r="AG558" t="s">
        <v>114</v>
      </c>
    </row>
    <row r="559" spans="1:33" x14ac:dyDescent="0.25">
      <c r="A559" t="str">
        <f>"1740340942"</f>
        <v>1740340942</v>
      </c>
      <c r="B559" t="str">
        <f>"00160870"</f>
        <v>00160870</v>
      </c>
      <c r="C559" t="s">
        <v>2408</v>
      </c>
      <c r="D559" t="s">
        <v>2409</v>
      </c>
      <c r="E559" t="s">
        <v>2410</v>
      </c>
      <c r="G559" t="s">
        <v>402</v>
      </c>
      <c r="H559" t="s">
        <v>403</v>
      </c>
      <c r="J559" t="s">
        <v>404</v>
      </c>
      <c r="L559" t="s">
        <v>166</v>
      </c>
      <c r="M559" t="s">
        <v>167</v>
      </c>
      <c r="R559" t="s">
        <v>2408</v>
      </c>
      <c r="W559" t="s">
        <v>2410</v>
      </c>
      <c r="X559" t="s">
        <v>2411</v>
      </c>
      <c r="Y559" t="s">
        <v>183</v>
      </c>
      <c r="Z559" t="s">
        <v>110</v>
      </c>
      <c r="AA559" t="str">
        <f>"10467-7947"</f>
        <v>10467-7947</v>
      </c>
      <c r="AB559" t="s">
        <v>172</v>
      </c>
      <c r="AC559" t="s">
        <v>112</v>
      </c>
      <c r="AD559" t="s">
        <v>107</v>
      </c>
      <c r="AE559" t="s">
        <v>113</v>
      </c>
      <c r="AG559" t="s">
        <v>114</v>
      </c>
    </row>
    <row r="560" spans="1:33" x14ac:dyDescent="0.25">
      <c r="A560" t="str">
        <f>"1124290069"</f>
        <v>1124290069</v>
      </c>
      <c r="B560" t="str">
        <f>"00355202"</f>
        <v>00355202</v>
      </c>
      <c r="C560" t="s">
        <v>2412</v>
      </c>
      <c r="D560" t="s">
        <v>2413</v>
      </c>
      <c r="E560" t="s">
        <v>2412</v>
      </c>
      <c r="F560">
        <v>133110063</v>
      </c>
      <c r="G560" t="s">
        <v>1155</v>
      </c>
      <c r="H560" t="s">
        <v>1156</v>
      </c>
      <c r="J560" t="s">
        <v>1157</v>
      </c>
      <c r="L560" t="s">
        <v>720</v>
      </c>
      <c r="M560" t="s">
        <v>167</v>
      </c>
      <c r="R560" t="s">
        <v>2414</v>
      </c>
      <c r="W560" t="s">
        <v>2412</v>
      </c>
      <c r="X560" t="s">
        <v>1720</v>
      </c>
      <c r="Y560" t="s">
        <v>325</v>
      </c>
      <c r="Z560" t="s">
        <v>110</v>
      </c>
      <c r="AA560" t="str">
        <f>"10029-4413"</f>
        <v>10029-4413</v>
      </c>
      <c r="AB560" t="s">
        <v>184</v>
      </c>
      <c r="AC560" t="s">
        <v>112</v>
      </c>
      <c r="AD560" t="s">
        <v>107</v>
      </c>
      <c r="AE560" t="s">
        <v>113</v>
      </c>
      <c r="AG560" t="s">
        <v>114</v>
      </c>
    </row>
    <row r="561" spans="1:33" x14ac:dyDescent="0.25">
      <c r="A561" t="str">
        <f>"1215100458"</f>
        <v>1215100458</v>
      </c>
      <c r="B561" t="str">
        <f>"03001829"</f>
        <v>03001829</v>
      </c>
      <c r="C561" t="s">
        <v>2415</v>
      </c>
      <c r="D561" t="s">
        <v>2413</v>
      </c>
      <c r="E561" t="s">
        <v>2412</v>
      </c>
      <c r="F561">
        <v>133110063</v>
      </c>
      <c r="G561" t="s">
        <v>1155</v>
      </c>
      <c r="H561" t="s">
        <v>1156</v>
      </c>
      <c r="J561" t="s">
        <v>1157</v>
      </c>
      <c r="L561" t="s">
        <v>720</v>
      </c>
      <c r="M561" t="s">
        <v>167</v>
      </c>
      <c r="R561" t="s">
        <v>2414</v>
      </c>
      <c r="W561" t="s">
        <v>2412</v>
      </c>
      <c r="X561" t="s">
        <v>1720</v>
      </c>
      <c r="Y561" t="s">
        <v>325</v>
      </c>
      <c r="Z561" t="s">
        <v>110</v>
      </c>
      <c r="AA561" t="str">
        <f>"10029-4413"</f>
        <v>10029-4413</v>
      </c>
      <c r="AB561" t="s">
        <v>184</v>
      </c>
      <c r="AC561" t="s">
        <v>112</v>
      </c>
      <c r="AD561" t="s">
        <v>107</v>
      </c>
      <c r="AE561" t="s">
        <v>113</v>
      </c>
      <c r="AG561" t="s">
        <v>114</v>
      </c>
    </row>
    <row r="562" spans="1:33" x14ac:dyDescent="0.25">
      <c r="A562" t="str">
        <f>"1811063290"</f>
        <v>1811063290</v>
      </c>
      <c r="B562" t="str">
        <f>"00698408"</f>
        <v>00698408</v>
      </c>
      <c r="C562" t="s">
        <v>2416</v>
      </c>
      <c r="D562" t="s">
        <v>2417</v>
      </c>
      <c r="E562" t="s">
        <v>2418</v>
      </c>
      <c r="G562" t="s">
        <v>2419</v>
      </c>
      <c r="H562" t="s">
        <v>2420</v>
      </c>
      <c r="J562" t="s">
        <v>2421</v>
      </c>
      <c r="L562" t="s">
        <v>67</v>
      </c>
      <c r="M562" t="s">
        <v>107</v>
      </c>
      <c r="R562" t="s">
        <v>1613</v>
      </c>
      <c r="W562" t="s">
        <v>2418</v>
      </c>
      <c r="X562" t="s">
        <v>2422</v>
      </c>
      <c r="Y562" t="s">
        <v>399</v>
      </c>
      <c r="Z562" t="s">
        <v>110</v>
      </c>
      <c r="AA562" t="str">
        <f>"11042"</f>
        <v>11042</v>
      </c>
      <c r="AB562" t="s">
        <v>408</v>
      </c>
      <c r="AC562" t="s">
        <v>112</v>
      </c>
      <c r="AD562" t="s">
        <v>107</v>
      </c>
      <c r="AE562" t="s">
        <v>113</v>
      </c>
      <c r="AG562" t="s">
        <v>114</v>
      </c>
    </row>
    <row r="563" spans="1:33" x14ac:dyDescent="0.25">
      <c r="A563" t="str">
        <f>"1184799587"</f>
        <v>1184799587</v>
      </c>
      <c r="B563" t="str">
        <f>"00912065"</f>
        <v>00912065</v>
      </c>
      <c r="C563" t="s">
        <v>2423</v>
      </c>
      <c r="D563" t="s">
        <v>2424</v>
      </c>
      <c r="E563" t="s">
        <v>2425</v>
      </c>
      <c r="G563" t="s">
        <v>2419</v>
      </c>
      <c r="H563" t="s">
        <v>2420</v>
      </c>
      <c r="J563" t="s">
        <v>2421</v>
      </c>
      <c r="L563" t="s">
        <v>67</v>
      </c>
      <c r="M563" t="s">
        <v>167</v>
      </c>
      <c r="R563" t="s">
        <v>1613</v>
      </c>
      <c r="W563" t="s">
        <v>2426</v>
      </c>
      <c r="X563" t="s">
        <v>1608</v>
      </c>
      <c r="Y563" t="s">
        <v>399</v>
      </c>
      <c r="Z563" t="s">
        <v>110</v>
      </c>
      <c r="AA563" t="str">
        <f>"11042-1116"</f>
        <v>11042-1116</v>
      </c>
      <c r="AB563" t="s">
        <v>408</v>
      </c>
      <c r="AC563" t="s">
        <v>112</v>
      </c>
      <c r="AD563" t="s">
        <v>107</v>
      </c>
      <c r="AE563" t="s">
        <v>113</v>
      </c>
      <c r="AG563" t="s">
        <v>114</v>
      </c>
    </row>
    <row r="564" spans="1:33" x14ac:dyDescent="0.25">
      <c r="A564" t="str">
        <f>"1801827076"</f>
        <v>1801827076</v>
      </c>
      <c r="B564" t="str">
        <f>"01215512"</f>
        <v>01215512</v>
      </c>
      <c r="C564" t="s">
        <v>2427</v>
      </c>
      <c r="D564" t="s">
        <v>2428</v>
      </c>
      <c r="E564" t="s">
        <v>2429</v>
      </c>
      <c r="G564" t="s">
        <v>2430</v>
      </c>
      <c r="H564" t="s">
        <v>2431</v>
      </c>
      <c r="J564" t="s">
        <v>2432</v>
      </c>
      <c r="L564" t="s">
        <v>405</v>
      </c>
      <c r="M564" t="s">
        <v>167</v>
      </c>
      <c r="R564" t="s">
        <v>2433</v>
      </c>
      <c r="W564" t="s">
        <v>2429</v>
      </c>
      <c r="X564" t="s">
        <v>1123</v>
      </c>
      <c r="Y564" t="s">
        <v>422</v>
      </c>
      <c r="Z564" t="s">
        <v>110</v>
      </c>
      <c r="AA564" t="str">
        <f>"11435-3109"</f>
        <v>11435-3109</v>
      </c>
      <c r="AB564" t="s">
        <v>408</v>
      </c>
      <c r="AC564" t="s">
        <v>112</v>
      </c>
      <c r="AD564" t="s">
        <v>107</v>
      </c>
      <c r="AE564" t="s">
        <v>113</v>
      </c>
      <c r="AG564" t="s">
        <v>114</v>
      </c>
    </row>
    <row r="565" spans="1:33" x14ac:dyDescent="0.25">
      <c r="A565" t="str">
        <f>"1184650657"</f>
        <v>1184650657</v>
      </c>
      <c r="B565" t="str">
        <f>"01801514"</f>
        <v>01801514</v>
      </c>
      <c r="C565" t="s">
        <v>2434</v>
      </c>
      <c r="D565" t="s">
        <v>2435</v>
      </c>
      <c r="E565" t="s">
        <v>2436</v>
      </c>
      <c r="G565" t="s">
        <v>195</v>
      </c>
      <c r="H565" t="s">
        <v>196</v>
      </c>
      <c r="J565" t="s">
        <v>197</v>
      </c>
      <c r="L565" t="s">
        <v>215</v>
      </c>
      <c r="M565" t="s">
        <v>167</v>
      </c>
      <c r="R565" t="s">
        <v>2434</v>
      </c>
      <c r="W565" t="s">
        <v>2436</v>
      </c>
      <c r="X565" t="s">
        <v>2437</v>
      </c>
      <c r="Y565" t="s">
        <v>2438</v>
      </c>
      <c r="Z565" t="s">
        <v>110</v>
      </c>
      <c r="AA565" t="str">
        <f>"11422-1311"</f>
        <v>11422-1311</v>
      </c>
      <c r="AB565" t="s">
        <v>172</v>
      </c>
      <c r="AC565" t="s">
        <v>112</v>
      </c>
      <c r="AD565" t="s">
        <v>107</v>
      </c>
      <c r="AE565" t="s">
        <v>113</v>
      </c>
      <c r="AG565" t="s">
        <v>114</v>
      </c>
    </row>
    <row r="566" spans="1:33" x14ac:dyDescent="0.25">
      <c r="A566" t="str">
        <f>"1821329731"</f>
        <v>1821329731</v>
      </c>
      <c r="B566" t="str">
        <f>"03195957"</f>
        <v>03195957</v>
      </c>
      <c r="C566" t="s">
        <v>2439</v>
      </c>
      <c r="D566" t="s">
        <v>2440</v>
      </c>
      <c r="E566" t="s">
        <v>2439</v>
      </c>
      <c r="G566" t="s">
        <v>2441</v>
      </c>
      <c r="H566" t="s">
        <v>2442</v>
      </c>
      <c r="I566">
        <v>557</v>
      </c>
      <c r="J566" t="s">
        <v>2443</v>
      </c>
      <c r="L566" t="s">
        <v>19</v>
      </c>
      <c r="M566" t="s">
        <v>167</v>
      </c>
      <c r="R566" t="s">
        <v>2439</v>
      </c>
      <c r="W566" t="s">
        <v>2439</v>
      </c>
      <c r="X566" t="s">
        <v>2444</v>
      </c>
      <c r="Y566" t="s">
        <v>225</v>
      </c>
      <c r="Z566" t="s">
        <v>110</v>
      </c>
      <c r="AA566" t="str">
        <f>"11355-5332"</f>
        <v>11355-5332</v>
      </c>
      <c r="AB566" t="s">
        <v>1614</v>
      </c>
      <c r="AC566" t="s">
        <v>112</v>
      </c>
      <c r="AD566" t="s">
        <v>107</v>
      </c>
      <c r="AE566" t="s">
        <v>113</v>
      </c>
      <c r="AG566" t="s">
        <v>114</v>
      </c>
    </row>
    <row r="567" spans="1:33" x14ac:dyDescent="0.25">
      <c r="A567" t="str">
        <f>"1780094920"</f>
        <v>1780094920</v>
      </c>
      <c r="B567" t="str">
        <f>"03923888"</f>
        <v>03923888</v>
      </c>
      <c r="C567" t="s">
        <v>2445</v>
      </c>
      <c r="D567" t="s">
        <v>2446</v>
      </c>
      <c r="E567" t="s">
        <v>2447</v>
      </c>
      <c r="G567" t="s">
        <v>176</v>
      </c>
      <c r="H567" t="s">
        <v>177</v>
      </c>
      <c r="I567">
        <v>3264</v>
      </c>
      <c r="J567" t="s">
        <v>178</v>
      </c>
      <c r="L567" t="s">
        <v>106</v>
      </c>
      <c r="M567" t="s">
        <v>107</v>
      </c>
      <c r="R567" t="s">
        <v>2445</v>
      </c>
      <c r="W567" t="s">
        <v>2447</v>
      </c>
      <c r="X567" t="s">
        <v>239</v>
      </c>
      <c r="Y567" t="s">
        <v>240</v>
      </c>
      <c r="Z567" t="s">
        <v>110</v>
      </c>
      <c r="AA567" t="str">
        <f>"11216-3903"</f>
        <v>11216-3903</v>
      </c>
      <c r="AB567" t="s">
        <v>172</v>
      </c>
      <c r="AC567" t="s">
        <v>112</v>
      </c>
      <c r="AD567" t="s">
        <v>107</v>
      </c>
      <c r="AE567" t="s">
        <v>113</v>
      </c>
      <c r="AG567" t="s">
        <v>114</v>
      </c>
    </row>
    <row r="568" spans="1:33" x14ac:dyDescent="0.25">
      <c r="A568" t="str">
        <f>"1558525196"</f>
        <v>1558525196</v>
      </c>
      <c r="B568" t="str">
        <f>"03178934"</f>
        <v>03178934</v>
      </c>
      <c r="C568" t="s">
        <v>2448</v>
      </c>
      <c r="D568" t="s">
        <v>2449</v>
      </c>
      <c r="E568" t="s">
        <v>2448</v>
      </c>
      <c r="G568" t="s">
        <v>402</v>
      </c>
      <c r="H568" t="s">
        <v>403</v>
      </c>
      <c r="J568" t="s">
        <v>404</v>
      </c>
      <c r="L568" t="s">
        <v>315</v>
      </c>
      <c r="M568" t="s">
        <v>167</v>
      </c>
      <c r="R568" t="s">
        <v>2448</v>
      </c>
      <c r="W568" t="s">
        <v>2448</v>
      </c>
      <c r="X568" t="s">
        <v>2450</v>
      </c>
      <c r="Y568" t="s">
        <v>325</v>
      </c>
      <c r="Z568" t="s">
        <v>110</v>
      </c>
      <c r="AA568" t="str">
        <f>"10038-2612"</f>
        <v>10038-2612</v>
      </c>
      <c r="AB568" t="s">
        <v>172</v>
      </c>
      <c r="AC568" t="s">
        <v>112</v>
      </c>
      <c r="AD568" t="s">
        <v>107</v>
      </c>
      <c r="AE568" t="s">
        <v>113</v>
      </c>
      <c r="AG568" t="s">
        <v>114</v>
      </c>
    </row>
    <row r="569" spans="1:33" x14ac:dyDescent="0.25">
      <c r="A569" t="str">
        <f>"1346239969"</f>
        <v>1346239969</v>
      </c>
      <c r="B569" t="str">
        <f>"01335175"</f>
        <v>01335175</v>
      </c>
      <c r="C569" t="s">
        <v>2451</v>
      </c>
      <c r="D569" t="s">
        <v>2452</v>
      </c>
      <c r="E569" t="s">
        <v>2453</v>
      </c>
      <c r="G569" t="s">
        <v>267</v>
      </c>
      <c r="H569" t="s">
        <v>268</v>
      </c>
      <c r="I569">
        <v>4223</v>
      </c>
      <c r="J569" t="s">
        <v>269</v>
      </c>
      <c r="L569" t="s">
        <v>166</v>
      </c>
      <c r="M569" t="s">
        <v>107</v>
      </c>
      <c r="R569" t="s">
        <v>2451</v>
      </c>
      <c r="W569" t="s">
        <v>2454</v>
      </c>
      <c r="X569" t="s">
        <v>2455</v>
      </c>
      <c r="Y569" t="s">
        <v>240</v>
      </c>
      <c r="Z569" t="s">
        <v>110</v>
      </c>
      <c r="AA569" t="str">
        <f>"11237-4006"</f>
        <v>11237-4006</v>
      </c>
      <c r="AB569" t="s">
        <v>172</v>
      </c>
      <c r="AC569" t="s">
        <v>112</v>
      </c>
      <c r="AD569" t="s">
        <v>107</v>
      </c>
      <c r="AE569" t="s">
        <v>113</v>
      </c>
      <c r="AG569" t="s">
        <v>114</v>
      </c>
    </row>
    <row r="570" spans="1:33" x14ac:dyDescent="0.25">
      <c r="A570" t="str">
        <f>"1366424350"</f>
        <v>1366424350</v>
      </c>
      <c r="B570" t="str">
        <f>"01707102"</f>
        <v>01707102</v>
      </c>
      <c r="C570" t="s">
        <v>2456</v>
      </c>
      <c r="D570" t="s">
        <v>2457</v>
      </c>
      <c r="E570" t="s">
        <v>2458</v>
      </c>
      <c r="G570" t="s">
        <v>2459</v>
      </c>
      <c r="H570" t="s">
        <v>2460</v>
      </c>
      <c r="J570" t="s">
        <v>2461</v>
      </c>
      <c r="L570" t="s">
        <v>405</v>
      </c>
      <c r="M570" t="s">
        <v>167</v>
      </c>
      <c r="R570" t="s">
        <v>2462</v>
      </c>
      <c r="W570" t="s">
        <v>2458</v>
      </c>
      <c r="X570" t="s">
        <v>2463</v>
      </c>
      <c r="Y570" t="s">
        <v>225</v>
      </c>
      <c r="Z570" t="s">
        <v>110</v>
      </c>
      <c r="AA570" t="str">
        <f>"11354-3050"</f>
        <v>11354-3050</v>
      </c>
      <c r="AB570" t="s">
        <v>408</v>
      </c>
      <c r="AC570" t="s">
        <v>112</v>
      </c>
      <c r="AD570" t="s">
        <v>107</v>
      </c>
      <c r="AE570" t="s">
        <v>113</v>
      </c>
      <c r="AG570" t="s">
        <v>114</v>
      </c>
    </row>
    <row r="571" spans="1:33" x14ac:dyDescent="0.25">
      <c r="A571" t="str">
        <f>"1396157616"</f>
        <v>1396157616</v>
      </c>
      <c r="C571" t="s">
        <v>2464</v>
      </c>
      <c r="G571" t="s">
        <v>869</v>
      </c>
      <c r="H571" t="s">
        <v>870</v>
      </c>
      <c r="J571" t="s">
        <v>871</v>
      </c>
      <c r="K571" t="s">
        <v>1616</v>
      </c>
      <c r="L571" t="s">
        <v>373</v>
      </c>
      <c r="M571" t="s">
        <v>107</v>
      </c>
      <c r="R571" t="s">
        <v>2464</v>
      </c>
      <c r="S571" t="s">
        <v>2465</v>
      </c>
      <c r="T571" t="s">
        <v>880</v>
      </c>
      <c r="U571" t="s">
        <v>110</v>
      </c>
      <c r="V571" t="str">
        <f>"113691326"</f>
        <v>113691326</v>
      </c>
      <c r="AC571" t="s">
        <v>112</v>
      </c>
      <c r="AD571" t="s">
        <v>107</v>
      </c>
      <c r="AE571" t="s">
        <v>278</v>
      </c>
      <c r="AG571" t="s">
        <v>114</v>
      </c>
    </row>
    <row r="572" spans="1:33" x14ac:dyDescent="0.25">
      <c r="A572" t="str">
        <f>"1952334518"</f>
        <v>1952334518</v>
      </c>
      <c r="B572" t="str">
        <f>"00312987"</f>
        <v>00312987</v>
      </c>
      <c r="C572" t="s">
        <v>2466</v>
      </c>
      <c r="D572" t="s">
        <v>2467</v>
      </c>
      <c r="E572" t="s">
        <v>2468</v>
      </c>
      <c r="G572" t="s">
        <v>1054</v>
      </c>
      <c r="H572" t="s">
        <v>1055</v>
      </c>
      <c r="J572" t="s">
        <v>1056</v>
      </c>
      <c r="L572" t="s">
        <v>405</v>
      </c>
      <c r="M572" t="s">
        <v>167</v>
      </c>
      <c r="R572" t="s">
        <v>2469</v>
      </c>
      <c r="W572" t="s">
        <v>2468</v>
      </c>
      <c r="X572" t="s">
        <v>2470</v>
      </c>
      <c r="Y572" t="s">
        <v>240</v>
      </c>
      <c r="Z572" t="s">
        <v>110</v>
      </c>
      <c r="AA572" t="str">
        <f>"11238-4205"</f>
        <v>11238-4205</v>
      </c>
      <c r="AB572" t="s">
        <v>408</v>
      </c>
      <c r="AC572" t="s">
        <v>112</v>
      </c>
      <c r="AD572" t="s">
        <v>107</v>
      </c>
      <c r="AE572" t="s">
        <v>113</v>
      </c>
      <c r="AG572" t="s">
        <v>114</v>
      </c>
    </row>
    <row r="573" spans="1:33" x14ac:dyDescent="0.25">
      <c r="A573" t="str">
        <f>"1154669133"</f>
        <v>1154669133</v>
      </c>
      <c r="B573" t="str">
        <f>"03862773"</f>
        <v>03862773</v>
      </c>
      <c r="C573" t="s">
        <v>2471</v>
      </c>
      <c r="D573" t="s">
        <v>2472</v>
      </c>
      <c r="E573" t="s">
        <v>2473</v>
      </c>
      <c r="G573" t="s">
        <v>1054</v>
      </c>
      <c r="H573" t="s">
        <v>1055</v>
      </c>
      <c r="J573" t="s">
        <v>1056</v>
      </c>
      <c r="L573" t="s">
        <v>67</v>
      </c>
      <c r="M573" t="s">
        <v>167</v>
      </c>
      <c r="R573" t="s">
        <v>2474</v>
      </c>
      <c r="W573" t="s">
        <v>2473</v>
      </c>
      <c r="X573" t="s">
        <v>2475</v>
      </c>
      <c r="Y573" t="s">
        <v>240</v>
      </c>
      <c r="Z573" t="s">
        <v>110</v>
      </c>
      <c r="AA573" t="str">
        <f>"11238-4208"</f>
        <v>11238-4208</v>
      </c>
      <c r="AB573" t="s">
        <v>546</v>
      </c>
      <c r="AC573" t="s">
        <v>112</v>
      </c>
      <c r="AD573" t="s">
        <v>107</v>
      </c>
      <c r="AE573" t="s">
        <v>113</v>
      </c>
      <c r="AG573" t="s">
        <v>114</v>
      </c>
    </row>
    <row r="574" spans="1:33" x14ac:dyDescent="0.25">
      <c r="A574" t="str">
        <f>"1659351021"</f>
        <v>1659351021</v>
      </c>
      <c r="B574" t="str">
        <f>"03358656"</f>
        <v>03358656</v>
      </c>
      <c r="C574" t="s">
        <v>2476</v>
      </c>
      <c r="D574" t="s">
        <v>2477</v>
      </c>
      <c r="E574" t="s">
        <v>2478</v>
      </c>
      <c r="G574" t="s">
        <v>2479</v>
      </c>
      <c r="H574" t="s">
        <v>877</v>
      </c>
      <c r="J574" t="s">
        <v>2480</v>
      </c>
      <c r="L574" t="s">
        <v>2481</v>
      </c>
      <c r="M574" t="s">
        <v>167</v>
      </c>
      <c r="R574" t="s">
        <v>2482</v>
      </c>
      <c r="W574" t="s">
        <v>2478</v>
      </c>
      <c r="X574" t="s">
        <v>2483</v>
      </c>
      <c r="Y574" t="s">
        <v>200</v>
      </c>
      <c r="Z574" t="s">
        <v>110</v>
      </c>
      <c r="AA574" t="str">
        <f>"11370"</f>
        <v>11370</v>
      </c>
      <c r="AB574" t="s">
        <v>184</v>
      </c>
      <c r="AC574" t="s">
        <v>112</v>
      </c>
      <c r="AD574" t="s">
        <v>107</v>
      </c>
      <c r="AE574" t="s">
        <v>113</v>
      </c>
      <c r="AG574" t="s">
        <v>114</v>
      </c>
    </row>
    <row r="575" spans="1:33" x14ac:dyDescent="0.25">
      <c r="A575" t="str">
        <f>"1679857114"</f>
        <v>1679857114</v>
      </c>
      <c r="C575" t="s">
        <v>2484</v>
      </c>
      <c r="G575" t="s">
        <v>273</v>
      </c>
      <c r="H575" t="s">
        <v>274</v>
      </c>
      <c r="J575" t="s">
        <v>275</v>
      </c>
      <c r="K575" t="s">
        <v>276</v>
      </c>
      <c r="L575" t="s">
        <v>106</v>
      </c>
      <c r="M575" t="s">
        <v>107</v>
      </c>
      <c r="R575" t="s">
        <v>2484</v>
      </c>
      <c r="S575" t="s">
        <v>277</v>
      </c>
      <c r="T575" t="s">
        <v>200</v>
      </c>
      <c r="U575" t="s">
        <v>110</v>
      </c>
      <c r="V575" t="str">
        <f>"113726300"</f>
        <v>113726300</v>
      </c>
      <c r="AC575" t="s">
        <v>112</v>
      </c>
      <c r="AD575" t="s">
        <v>107</v>
      </c>
      <c r="AE575" t="s">
        <v>278</v>
      </c>
      <c r="AG575" t="s">
        <v>114</v>
      </c>
    </row>
    <row r="576" spans="1:33" x14ac:dyDescent="0.25">
      <c r="A576" t="str">
        <f>"1043290190"</f>
        <v>1043290190</v>
      </c>
      <c r="B576" t="str">
        <f>"02266580"</f>
        <v>02266580</v>
      </c>
      <c r="C576" t="s">
        <v>2485</v>
      </c>
      <c r="D576" t="s">
        <v>2486</v>
      </c>
      <c r="E576" t="s">
        <v>2487</v>
      </c>
      <c r="G576" t="s">
        <v>1248</v>
      </c>
      <c r="H576" t="s">
        <v>1249</v>
      </c>
      <c r="I576">
        <v>216</v>
      </c>
      <c r="J576" t="s">
        <v>1250</v>
      </c>
      <c r="L576" t="s">
        <v>373</v>
      </c>
      <c r="M576" t="s">
        <v>107</v>
      </c>
      <c r="R576" t="s">
        <v>2485</v>
      </c>
      <c r="W576" t="s">
        <v>2487</v>
      </c>
      <c r="X576" t="s">
        <v>2488</v>
      </c>
      <c r="Y576" t="s">
        <v>183</v>
      </c>
      <c r="Z576" t="s">
        <v>110</v>
      </c>
      <c r="AA576" t="str">
        <f>"10457-7606"</f>
        <v>10457-7606</v>
      </c>
      <c r="AB576" t="s">
        <v>1734</v>
      </c>
      <c r="AC576" t="s">
        <v>112</v>
      </c>
      <c r="AD576" t="s">
        <v>107</v>
      </c>
      <c r="AE576" t="s">
        <v>113</v>
      </c>
      <c r="AG576" t="s">
        <v>114</v>
      </c>
    </row>
    <row r="577" spans="1:33" x14ac:dyDescent="0.25">
      <c r="A577" t="str">
        <f>"1629276597"</f>
        <v>1629276597</v>
      </c>
      <c r="B577" t="str">
        <f>"03356705"</f>
        <v>03356705</v>
      </c>
      <c r="C577" t="s">
        <v>2489</v>
      </c>
      <c r="D577" t="s">
        <v>2490</v>
      </c>
      <c r="E577" t="s">
        <v>2491</v>
      </c>
      <c r="G577" t="s">
        <v>1248</v>
      </c>
      <c r="H577" t="s">
        <v>1249</v>
      </c>
      <c r="I577">
        <v>216</v>
      </c>
      <c r="J577" t="s">
        <v>1250</v>
      </c>
      <c r="L577" t="s">
        <v>315</v>
      </c>
      <c r="M577" t="s">
        <v>167</v>
      </c>
      <c r="R577" t="s">
        <v>2489</v>
      </c>
      <c r="W577" t="s">
        <v>2491</v>
      </c>
      <c r="X577" t="s">
        <v>2492</v>
      </c>
      <c r="Y577" t="s">
        <v>207</v>
      </c>
      <c r="Z577" t="s">
        <v>110</v>
      </c>
      <c r="AA577" t="str">
        <f>"11375-4250"</f>
        <v>11375-4250</v>
      </c>
      <c r="AB577" t="s">
        <v>172</v>
      </c>
      <c r="AC577" t="s">
        <v>112</v>
      </c>
      <c r="AD577" t="s">
        <v>107</v>
      </c>
      <c r="AE577" t="s">
        <v>113</v>
      </c>
      <c r="AG577" t="s">
        <v>114</v>
      </c>
    </row>
    <row r="578" spans="1:33" x14ac:dyDescent="0.25">
      <c r="A578" t="str">
        <f>"1982701876"</f>
        <v>1982701876</v>
      </c>
      <c r="B578" t="str">
        <f>"03165666"</f>
        <v>03165666</v>
      </c>
      <c r="C578" t="s">
        <v>2493</v>
      </c>
      <c r="D578" t="s">
        <v>2494</v>
      </c>
      <c r="E578" t="s">
        <v>2493</v>
      </c>
      <c r="G578" t="s">
        <v>273</v>
      </c>
      <c r="H578" t="s">
        <v>274</v>
      </c>
      <c r="J578" t="s">
        <v>275</v>
      </c>
      <c r="L578" t="s">
        <v>117</v>
      </c>
      <c r="M578" t="s">
        <v>107</v>
      </c>
      <c r="R578" t="s">
        <v>2493</v>
      </c>
      <c r="W578" t="s">
        <v>2495</v>
      </c>
      <c r="X578" t="s">
        <v>659</v>
      </c>
      <c r="Y578" t="s">
        <v>325</v>
      </c>
      <c r="Z578" t="s">
        <v>110</v>
      </c>
      <c r="AA578" t="str">
        <f>"10024-4018"</f>
        <v>10024-4018</v>
      </c>
      <c r="AB578" t="s">
        <v>111</v>
      </c>
      <c r="AC578" t="s">
        <v>112</v>
      </c>
      <c r="AD578" t="s">
        <v>107</v>
      </c>
      <c r="AE578" t="s">
        <v>113</v>
      </c>
      <c r="AG578" t="s">
        <v>114</v>
      </c>
    </row>
    <row r="579" spans="1:33" x14ac:dyDescent="0.25">
      <c r="A579" t="str">
        <f>"1154326825"</f>
        <v>1154326825</v>
      </c>
      <c r="B579" t="str">
        <f>"00401978"</f>
        <v>00401978</v>
      </c>
      <c r="C579" t="s">
        <v>2496</v>
      </c>
      <c r="D579" t="s">
        <v>2497</v>
      </c>
      <c r="E579" t="s">
        <v>2498</v>
      </c>
      <c r="G579" t="s">
        <v>736</v>
      </c>
      <c r="H579" t="s">
        <v>737</v>
      </c>
      <c r="I579">
        <v>1108</v>
      </c>
      <c r="J579" t="s">
        <v>738</v>
      </c>
      <c r="L579" t="s">
        <v>215</v>
      </c>
      <c r="M579" t="s">
        <v>107</v>
      </c>
      <c r="R579" t="s">
        <v>2496</v>
      </c>
      <c r="W579" t="s">
        <v>2498</v>
      </c>
      <c r="X579" t="s">
        <v>2499</v>
      </c>
      <c r="Y579" t="s">
        <v>225</v>
      </c>
      <c r="Z579" t="s">
        <v>110</v>
      </c>
      <c r="AA579" t="str">
        <f>"11366"</f>
        <v>11366</v>
      </c>
      <c r="AB579" t="s">
        <v>172</v>
      </c>
      <c r="AC579" t="s">
        <v>112</v>
      </c>
      <c r="AD579" t="s">
        <v>107</v>
      </c>
      <c r="AE579" t="s">
        <v>113</v>
      </c>
      <c r="AG579" t="s">
        <v>114</v>
      </c>
    </row>
    <row r="580" spans="1:33" x14ac:dyDescent="0.25">
      <c r="A580" t="str">
        <f>"1578665832"</f>
        <v>1578665832</v>
      </c>
      <c r="B580" t="str">
        <f>"00949500"</f>
        <v>00949500</v>
      </c>
      <c r="C580" t="s">
        <v>2500</v>
      </c>
      <c r="D580" t="s">
        <v>2501</v>
      </c>
      <c r="E580" t="s">
        <v>2502</v>
      </c>
      <c r="G580" t="s">
        <v>203</v>
      </c>
      <c r="H580" t="s">
        <v>204</v>
      </c>
      <c r="J580" t="s">
        <v>205</v>
      </c>
      <c r="L580" t="s">
        <v>215</v>
      </c>
      <c r="M580" t="s">
        <v>107</v>
      </c>
      <c r="R580" t="s">
        <v>2500</v>
      </c>
      <c r="W580" t="s">
        <v>2502</v>
      </c>
      <c r="X580" t="s">
        <v>2503</v>
      </c>
      <c r="Y580" t="s">
        <v>225</v>
      </c>
      <c r="Z580" t="s">
        <v>110</v>
      </c>
      <c r="AA580" t="str">
        <f>"11355-2252"</f>
        <v>11355-2252</v>
      </c>
      <c r="AB580" t="s">
        <v>172</v>
      </c>
      <c r="AC580" t="s">
        <v>112</v>
      </c>
      <c r="AD580" t="s">
        <v>107</v>
      </c>
      <c r="AE580" t="s">
        <v>113</v>
      </c>
      <c r="AG580" t="s">
        <v>114</v>
      </c>
    </row>
    <row r="581" spans="1:33" x14ac:dyDescent="0.25">
      <c r="A581" t="str">
        <f>"1285739607"</f>
        <v>1285739607</v>
      </c>
      <c r="B581" t="str">
        <f>"00807194"</f>
        <v>00807194</v>
      </c>
      <c r="C581" t="s">
        <v>2504</v>
      </c>
      <c r="D581" t="s">
        <v>2505</v>
      </c>
      <c r="E581" t="s">
        <v>2506</v>
      </c>
      <c r="G581" t="s">
        <v>203</v>
      </c>
      <c r="H581" t="s">
        <v>204</v>
      </c>
      <c r="J581" t="s">
        <v>205</v>
      </c>
      <c r="L581" t="s">
        <v>166</v>
      </c>
      <c r="M581" t="s">
        <v>107</v>
      </c>
      <c r="R581" t="s">
        <v>2504</v>
      </c>
      <c r="W581" t="s">
        <v>2506</v>
      </c>
      <c r="X581" t="s">
        <v>2507</v>
      </c>
      <c r="Y581" t="s">
        <v>325</v>
      </c>
      <c r="Z581" t="s">
        <v>110</v>
      </c>
      <c r="AA581" t="str">
        <f>"10025"</f>
        <v>10025</v>
      </c>
      <c r="AB581" t="s">
        <v>172</v>
      </c>
      <c r="AC581" t="s">
        <v>112</v>
      </c>
      <c r="AD581" t="s">
        <v>107</v>
      </c>
      <c r="AE581" t="s">
        <v>113</v>
      </c>
      <c r="AG581" t="s">
        <v>114</v>
      </c>
    </row>
    <row r="582" spans="1:33" x14ac:dyDescent="0.25">
      <c r="C582" t="s">
        <v>2508</v>
      </c>
      <c r="G582" t="s">
        <v>2509</v>
      </c>
      <c r="H582" t="s">
        <v>2510</v>
      </c>
      <c r="J582" t="s">
        <v>2511</v>
      </c>
      <c r="K582" t="s">
        <v>710</v>
      </c>
      <c r="L582" t="s">
        <v>711</v>
      </c>
      <c r="M582" t="s">
        <v>107</v>
      </c>
      <c r="N582" t="s">
        <v>2512</v>
      </c>
      <c r="O582" t="s">
        <v>2513</v>
      </c>
      <c r="P582" t="s">
        <v>110</v>
      </c>
      <c r="Q582" t="str">
        <f>"11788"</f>
        <v>11788</v>
      </c>
      <c r="AC582" t="s">
        <v>112</v>
      </c>
      <c r="AD582" t="s">
        <v>107</v>
      </c>
      <c r="AE582" t="s">
        <v>713</v>
      </c>
      <c r="AG582" t="s">
        <v>114</v>
      </c>
    </row>
    <row r="583" spans="1:33" x14ac:dyDescent="0.25">
      <c r="A583" t="str">
        <f>"1578556866"</f>
        <v>1578556866</v>
      </c>
      <c r="B583" t="str">
        <f>"02787795"</f>
        <v>02787795</v>
      </c>
      <c r="C583" t="s">
        <v>2514</v>
      </c>
      <c r="D583" t="s">
        <v>2515</v>
      </c>
      <c r="E583" t="s">
        <v>2516</v>
      </c>
      <c r="G583" t="s">
        <v>412</v>
      </c>
      <c r="H583" t="s">
        <v>413</v>
      </c>
      <c r="J583" t="s">
        <v>414</v>
      </c>
      <c r="L583" t="s">
        <v>315</v>
      </c>
      <c r="M583" t="s">
        <v>167</v>
      </c>
      <c r="R583" t="s">
        <v>2517</v>
      </c>
      <c r="W583" t="s">
        <v>2516</v>
      </c>
      <c r="X583" t="s">
        <v>2518</v>
      </c>
      <c r="Y583" t="s">
        <v>325</v>
      </c>
      <c r="Z583" t="s">
        <v>110</v>
      </c>
      <c r="AA583" t="str">
        <f>"10024-2298"</f>
        <v>10024-2298</v>
      </c>
      <c r="AB583" t="s">
        <v>172</v>
      </c>
      <c r="AC583" t="s">
        <v>112</v>
      </c>
      <c r="AD583" t="s">
        <v>107</v>
      </c>
      <c r="AE583" t="s">
        <v>113</v>
      </c>
      <c r="AG583" t="s">
        <v>114</v>
      </c>
    </row>
    <row r="584" spans="1:33" x14ac:dyDescent="0.25">
      <c r="A584" t="str">
        <f>"1710921051"</f>
        <v>1710921051</v>
      </c>
      <c r="B584" t="str">
        <f>"00480722"</f>
        <v>00480722</v>
      </c>
      <c r="C584" t="s">
        <v>2519</v>
      </c>
      <c r="D584" t="s">
        <v>2520</v>
      </c>
      <c r="E584" t="s">
        <v>2521</v>
      </c>
      <c r="G584" t="s">
        <v>2522</v>
      </c>
      <c r="H584" t="s">
        <v>2523</v>
      </c>
      <c r="J584" t="s">
        <v>197</v>
      </c>
      <c r="L584" t="s">
        <v>166</v>
      </c>
      <c r="M584" t="s">
        <v>167</v>
      </c>
      <c r="R584" t="s">
        <v>2519</v>
      </c>
      <c r="W584" t="s">
        <v>2524</v>
      </c>
      <c r="X584" t="s">
        <v>2525</v>
      </c>
      <c r="Y584" t="s">
        <v>2526</v>
      </c>
      <c r="Z584" t="s">
        <v>110</v>
      </c>
      <c r="AA584" t="str">
        <f>"11385-7413"</f>
        <v>11385-7413</v>
      </c>
      <c r="AB584" t="s">
        <v>172</v>
      </c>
      <c r="AC584" t="s">
        <v>112</v>
      </c>
      <c r="AD584" t="s">
        <v>107</v>
      </c>
      <c r="AE584" t="s">
        <v>113</v>
      </c>
      <c r="AG584" t="s">
        <v>114</v>
      </c>
    </row>
    <row r="585" spans="1:33" x14ac:dyDescent="0.25">
      <c r="A585" t="str">
        <f>"1023171865"</f>
        <v>1023171865</v>
      </c>
      <c r="B585" t="str">
        <f>"02846633"</f>
        <v>02846633</v>
      </c>
      <c r="C585" t="s">
        <v>2527</v>
      </c>
      <c r="D585" t="s">
        <v>2528</v>
      </c>
      <c r="E585" t="s">
        <v>2529</v>
      </c>
      <c r="G585" t="s">
        <v>273</v>
      </c>
      <c r="H585" t="s">
        <v>274</v>
      </c>
      <c r="J585" t="s">
        <v>275</v>
      </c>
      <c r="L585" t="s">
        <v>117</v>
      </c>
      <c r="M585" t="s">
        <v>107</v>
      </c>
      <c r="R585" t="s">
        <v>2527</v>
      </c>
      <c r="W585" t="s">
        <v>2529</v>
      </c>
      <c r="X585" t="s">
        <v>2530</v>
      </c>
      <c r="Y585" t="s">
        <v>325</v>
      </c>
      <c r="Z585" t="s">
        <v>110</v>
      </c>
      <c r="AA585" t="str">
        <f>"10017-5405"</f>
        <v>10017-5405</v>
      </c>
      <c r="AB585" t="s">
        <v>111</v>
      </c>
      <c r="AC585" t="s">
        <v>112</v>
      </c>
      <c r="AD585" t="s">
        <v>107</v>
      </c>
      <c r="AE585" t="s">
        <v>113</v>
      </c>
      <c r="AG585" t="s">
        <v>114</v>
      </c>
    </row>
    <row r="586" spans="1:33" x14ac:dyDescent="0.25">
      <c r="A586" t="str">
        <f>"1699885483"</f>
        <v>1699885483</v>
      </c>
      <c r="B586" t="str">
        <f>"00744234"</f>
        <v>00744234</v>
      </c>
      <c r="C586" t="s">
        <v>2531</v>
      </c>
      <c r="D586" t="s">
        <v>2532</v>
      </c>
      <c r="E586" t="s">
        <v>2533</v>
      </c>
      <c r="G586" t="s">
        <v>2135</v>
      </c>
      <c r="H586" t="s">
        <v>2136</v>
      </c>
      <c r="I586">
        <v>110</v>
      </c>
      <c r="J586" t="s">
        <v>2137</v>
      </c>
      <c r="L586" t="s">
        <v>215</v>
      </c>
      <c r="M586" t="s">
        <v>107</v>
      </c>
      <c r="R586" t="s">
        <v>2534</v>
      </c>
      <c r="W586" t="s">
        <v>2535</v>
      </c>
      <c r="X586" t="s">
        <v>2536</v>
      </c>
      <c r="Y586" t="s">
        <v>207</v>
      </c>
      <c r="Z586" t="s">
        <v>110</v>
      </c>
      <c r="AA586" t="str">
        <f>"11375-4946"</f>
        <v>11375-4946</v>
      </c>
      <c r="AB586" t="s">
        <v>172</v>
      </c>
      <c r="AC586" t="s">
        <v>112</v>
      </c>
      <c r="AD586" t="s">
        <v>107</v>
      </c>
      <c r="AE586" t="s">
        <v>113</v>
      </c>
      <c r="AG586" t="s">
        <v>114</v>
      </c>
    </row>
    <row r="587" spans="1:33" x14ac:dyDescent="0.25">
      <c r="A587" t="str">
        <f>"1972548915"</f>
        <v>1972548915</v>
      </c>
      <c r="B587" t="str">
        <f>"01618088"</f>
        <v>01618088</v>
      </c>
      <c r="C587" t="s">
        <v>2537</v>
      </c>
      <c r="D587" t="s">
        <v>2538</v>
      </c>
      <c r="E587" t="s">
        <v>2539</v>
      </c>
      <c r="G587" t="s">
        <v>2135</v>
      </c>
      <c r="H587" t="s">
        <v>2136</v>
      </c>
      <c r="I587">
        <v>110</v>
      </c>
      <c r="J587" t="s">
        <v>2137</v>
      </c>
      <c r="L587" t="s">
        <v>117</v>
      </c>
      <c r="M587" t="s">
        <v>167</v>
      </c>
      <c r="R587" t="s">
        <v>2540</v>
      </c>
      <c r="W587" t="s">
        <v>2539</v>
      </c>
      <c r="X587" t="s">
        <v>1305</v>
      </c>
      <c r="Y587" t="s">
        <v>422</v>
      </c>
      <c r="Z587" t="s">
        <v>110</v>
      </c>
      <c r="AA587" t="str">
        <f>"11418"</f>
        <v>11418</v>
      </c>
      <c r="AB587" t="s">
        <v>172</v>
      </c>
      <c r="AC587" t="s">
        <v>112</v>
      </c>
      <c r="AD587" t="s">
        <v>107</v>
      </c>
      <c r="AE587" t="s">
        <v>113</v>
      </c>
      <c r="AG587" t="s">
        <v>114</v>
      </c>
    </row>
    <row r="588" spans="1:33" x14ac:dyDescent="0.25">
      <c r="A588" t="str">
        <f>"1437254166"</f>
        <v>1437254166</v>
      </c>
      <c r="B588" t="str">
        <f>"02606366"</f>
        <v>02606366</v>
      </c>
      <c r="C588" t="s">
        <v>2541</v>
      </c>
      <c r="D588" t="s">
        <v>2542</v>
      </c>
      <c r="E588" t="s">
        <v>2543</v>
      </c>
      <c r="G588" t="s">
        <v>2541</v>
      </c>
      <c r="H588" t="s">
        <v>2544</v>
      </c>
      <c r="J588" t="s">
        <v>2545</v>
      </c>
      <c r="L588" t="s">
        <v>166</v>
      </c>
      <c r="M588" t="s">
        <v>167</v>
      </c>
      <c r="R588" t="s">
        <v>2546</v>
      </c>
      <c r="W588" t="s">
        <v>2543</v>
      </c>
      <c r="X588" t="s">
        <v>1924</v>
      </c>
      <c r="Y588" t="s">
        <v>240</v>
      </c>
      <c r="Z588" t="s">
        <v>110</v>
      </c>
      <c r="AA588" t="str">
        <f>"11220-2559"</f>
        <v>11220-2559</v>
      </c>
      <c r="AB588" t="s">
        <v>172</v>
      </c>
      <c r="AC588" t="s">
        <v>112</v>
      </c>
      <c r="AD588" t="s">
        <v>107</v>
      </c>
      <c r="AE588" t="s">
        <v>113</v>
      </c>
      <c r="AG588" t="s">
        <v>114</v>
      </c>
    </row>
    <row r="589" spans="1:33" x14ac:dyDescent="0.25">
      <c r="A589" t="str">
        <f>"1306816103"</f>
        <v>1306816103</v>
      </c>
      <c r="B589" t="str">
        <f>"01021732"</f>
        <v>01021732</v>
      </c>
      <c r="C589" t="s">
        <v>2547</v>
      </c>
      <c r="D589" t="s">
        <v>2548</v>
      </c>
      <c r="E589" t="s">
        <v>2549</v>
      </c>
      <c r="G589" t="s">
        <v>2550</v>
      </c>
      <c r="H589" t="s">
        <v>2551</v>
      </c>
      <c r="J589" t="s">
        <v>2552</v>
      </c>
      <c r="L589" t="s">
        <v>166</v>
      </c>
      <c r="M589" t="s">
        <v>167</v>
      </c>
      <c r="R589" t="s">
        <v>2553</v>
      </c>
      <c r="W589" t="s">
        <v>2549</v>
      </c>
      <c r="X589" t="s">
        <v>2554</v>
      </c>
      <c r="Y589" t="s">
        <v>171</v>
      </c>
      <c r="Z589" t="s">
        <v>110</v>
      </c>
      <c r="AA589" t="str">
        <f>"11373-4998"</f>
        <v>11373-4998</v>
      </c>
      <c r="AB589" t="s">
        <v>172</v>
      </c>
      <c r="AC589" t="s">
        <v>112</v>
      </c>
      <c r="AD589" t="s">
        <v>107</v>
      </c>
      <c r="AE589" t="s">
        <v>113</v>
      </c>
      <c r="AG589" t="s">
        <v>114</v>
      </c>
    </row>
    <row r="590" spans="1:33" x14ac:dyDescent="0.25">
      <c r="A590" t="str">
        <f>"1649505553"</f>
        <v>1649505553</v>
      </c>
      <c r="B590" t="str">
        <f>"03162714"</f>
        <v>03162714</v>
      </c>
      <c r="C590" t="s">
        <v>2555</v>
      </c>
      <c r="D590" t="s">
        <v>2556</v>
      </c>
      <c r="E590" t="s">
        <v>2557</v>
      </c>
      <c r="G590" t="s">
        <v>2555</v>
      </c>
      <c r="H590" t="s">
        <v>2558</v>
      </c>
      <c r="J590" t="s">
        <v>2559</v>
      </c>
      <c r="L590" t="s">
        <v>166</v>
      </c>
      <c r="M590" t="s">
        <v>167</v>
      </c>
      <c r="R590" t="s">
        <v>2560</v>
      </c>
      <c r="W590" t="s">
        <v>2561</v>
      </c>
      <c r="X590" t="s">
        <v>2562</v>
      </c>
      <c r="Y590" t="s">
        <v>422</v>
      </c>
      <c r="Z590" t="s">
        <v>110</v>
      </c>
      <c r="AA590" t="str">
        <f>"11432-4546"</f>
        <v>11432-4546</v>
      </c>
      <c r="AB590" t="s">
        <v>172</v>
      </c>
      <c r="AC590" t="s">
        <v>112</v>
      </c>
      <c r="AD590" t="s">
        <v>107</v>
      </c>
      <c r="AE590" t="s">
        <v>113</v>
      </c>
      <c r="AG590" t="s">
        <v>114</v>
      </c>
    </row>
    <row r="591" spans="1:33" x14ac:dyDescent="0.25">
      <c r="A591" t="str">
        <f>"1730491945"</f>
        <v>1730491945</v>
      </c>
      <c r="C591" t="s">
        <v>2563</v>
      </c>
      <c r="G591" t="s">
        <v>2564</v>
      </c>
      <c r="H591" t="s">
        <v>2565</v>
      </c>
      <c r="I591">
        <v>1063</v>
      </c>
      <c r="J591" t="s">
        <v>2566</v>
      </c>
      <c r="K591" t="s">
        <v>2567</v>
      </c>
      <c r="L591" t="s">
        <v>373</v>
      </c>
      <c r="M591" t="s">
        <v>107</v>
      </c>
      <c r="R591" t="s">
        <v>2563</v>
      </c>
      <c r="S591" t="s">
        <v>2568</v>
      </c>
      <c r="T591" t="s">
        <v>325</v>
      </c>
      <c r="U591" t="s">
        <v>110</v>
      </c>
      <c r="V591" t="str">
        <f>"100284615"</f>
        <v>100284615</v>
      </c>
      <c r="AC591" t="s">
        <v>112</v>
      </c>
      <c r="AD591" t="s">
        <v>107</v>
      </c>
      <c r="AE591" t="s">
        <v>278</v>
      </c>
      <c r="AG591" t="s">
        <v>114</v>
      </c>
    </row>
    <row r="592" spans="1:33" x14ac:dyDescent="0.25">
      <c r="C592" t="s">
        <v>2569</v>
      </c>
      <c r="G592" t="s">
        <v>1054</v>
      </c>
      <c r="H592" t="s">
        <v>1055</v>
      </c>
      <c r="J592" t="s">
        <v>1056</v>
      </c>
      <c r="K592" t="s">
        <v>2570</v>
      </c>
      <c r="L592" t="s">
        <v>711</v>
      </c>
      <c r="M592" t="s">
        <v>107</v>
      </c>
      <c r="N592" t="s">
        <v>2571</v>
      </c>
      <c r="O592" t="s">
        <v>1059</v>
      </c>
      <c r="P592" t="s">
        <v>110</v>
      </c>
      <c r="Q592" t="str">
        <f>"10464"</f>
        <v>10464</v>
      </c>
      <c r="AC592" t="s">
        <v>112</v>
      </c>
      <c r="AD592" t="s">
        <v>107</v>
      </c>
      <c r="AE592" t="s">
        <v>713</v>
      </c>
      <c r="AG592" t="s">
        <v>114</v>
      </c>
    </row>
    <row r="593" spans="1:33" x14ac:dyDescent="0.25">
      <c r="A593" t="str">
        <f>"1326108671"</f>
        <v>1326108671</v>
      </c>
      <c r="B593" t="str">
        <f>"01519364"</f>
        <v>01519364</v>
      </c>
      <c r="C593" t="s">
        <v>2572</v>
      </c>
      <c r="D593" t="s">
        <v>2573</v>
      </c>
      <c r="E593" t="s">
        <v>2572</v>
      </c>
      <c r="G593" t="s">
        <v>736</v>
      </c>
      <c r="H593" t="s">
        <v>737</v>
      </c>
      <c r="I593">
        <v>1108</v>
      </c>
      <c r="J593" t="s">
        <v>738</v>
      </c>
      <c r="L593" t="s">
        <v>315</v>
      </c>
      <c r="M593" t="s">
        <v>107</v>
      </c>
      <c r="W593" t="s">
        <v>2572</v>
      </c>
      <c r="X593" t="s">
        <v>2574</v>
      </c>
      <c r="Y593" t="s">
        <v>626</v>
      </c>
      <c r="Z593" t="s">
        <v>110</v>
      </c>
      <c r="AA593" t="str">
        <f>"11102-3637"</f>
        <v>11102-3637</v>
      </c>
      <c r="AB593" t="s">
        <v>172</v>
      </c>
      <c r="AC593" t="s">
        <v>112</v>
      </c>
      <c r="AD593" t="s">
        <v>107</v>
      </c>
      <c r="AE593" t="s">
        <v>113</v>
      </c>
      <c r="AG593" t="s">
        <v>114</v>
      </c>
    </row>
    <row r="594" spans="1:33" x14ac:dyDescent="0.25">
      <c r="C594" t="s">
        <v>2575</v>
      </c>
      <c r="G594" t="s">
        <v>1054</v>
      </c>
      <c r="H594" t="s">
        <v>1055</v>
      </c>
      <c r="J594" t="s">
        <v>1056</v>
      </c>
      <c r="K594" t="s">
        <v>1057</v>
      </c>
      <c r="L594" t="s">
        <v>711</v>
      </c>
      <c r="M594" t="s">
        <v>107</v>
      </c>
      <c r="N594" t="s">
        <v>2576</v>
      </c>
      <c r="O594" t="s">
        <v>1059</v>
      </c>
      <c r="P594" t="s">
        <v>110</v>
      </c>
      <c r="Q594" t="str">
        <f>"10467"</f>
        <v>10467</v>
      </c>
      <c r="AC594" t="s">
        <v>112</v>
      </c>
      <c r="AD594" t="s">
        <v>107</v>
      </c>
      <c r="AE594" t="s">
        <v>713</v>
      </c>
      <c r="AG594" t="s">
        <v>114</v>
      </c>
    </row>
    <row r="595" spans="1:33" x14ac:dyDescent="0.25">
      <c r="A595" t="str">
        <f>"1669667325"</f>
        <v>1669667325</v>
      </c>
      <c r="B595" t="str">
        <f>"02942258"</f>
        <v>02942258</v>
      </c>
      <c r="C595" t="s">
        <v>2577</v>
      </c>
      <c r="D595" t="s">
        <v>2578</v>
      </c>
      <c r="E595" t="s">
        <v>2579</v>
      </c>
      <c r="G595" t="s">
        <v>360</v>
      </c>
      <c r="H595" t="s">
        <v>361</v>
      </c>
      <c r="I595">
        <v>122</v>
      </c>
      <c r="J595" t="s">
        <v>362</v>
      </c>
      <c r="L595" t="s">
        <v>166</v>
      </c>
      <c r="M595" t="s">
        <v>167</v>
      </c>
      <c r="R595" t="s">
        <v>2577</v>
      </c>
      <c r="W595" t="s">
        <v>2577</v>
      </c>
      <c r="X595" t="s">
        <v>1561</v>
      </c>
      <c r="Y595" t="s">
        <v>422</v>
      </c>
      <c r="Z595" t="s">
        <v>110</v>
      </c>
      <c r="AA595" t="str">
        <f>"11418-2832"</f>
        <v>11418-2832</v>
      </c>
      <c r="AB595" t="s">
        <v>172</v>
      </c>
      <c r="AC595" t="s">
        <v>112</v>
      </c>
      <c r="AD595" t="s">
        <v>107</v>
      </c>
      <c r="AE595" t="s">
        <v>113</v>
      </c>
      <c r="AG595" t="s">
        <v>114</v>
      </c>
    </row>
    <row r="596" spans="1:33" x14ac:dyDescent="0.25">
      <c r="A596" t="str">
        <f>"1073659157"</f>
        <v>1073659157</v>
      </c>
      <c r="B596" t="str">
        <f>"02894755"</f>
        <v>02894755</v>
      </c>
      <c r="C596" t="s">
        <v>2580</v>
      </c>
      <c r="D596" t="s">
        <v>2581</v>
      </c>
      <c r="E596" t="s">
        <v>2582</v>
      </c>
      <c r="G596" t="s">
        <v>289</v>
      </c>
      <c r="H596" t="s">
        <v>290</v>
      </c>
      <c r="J596" t="s">
        <v>291</v>
      </c>
      <c r="L596" t="s">
        <v>106</v>
      </c>
      <c r="M596" t="s">
        <v>107</v>
      </c>
      <c r="R596" t="s">
        <v>2580</v>
      </c>
      <c r="W596" t="s">
        <v>2582</v>
      </c>
      <c r="X596" t="s">
        <v>2583</v>
      </c>
      <c r="Y596" t="s">
        <v>225</v>
      </c>
      <c r="Z596" t="s">
        <v>110</v>
      </c>
      <c r="AA596" t="str">
        <f>"11355"</f>
        <v>11355</v>
      </c>
      <c r="AB596" t="s">
        <v>111</v>
      </c>
      <c r="AC596" t="s">
        <v>112</v>
      </c>
      <c r="AD596" t="s">
        <v>107</v>
      </c>
      <c r="AE596" t="s">
        <v>113</v>
      </c>
      <c r="AG596" t="s">
        <v>114</v>
      </c>
    </row>
    <row r="597" spans="1:33" x14ac:dyDescent="0.25">
      <c r="A597" t="str">
        <f>"1346362696"</f>
        <v>1346362696</v>
      </c>
      <c r="B597" t="str">
        <f>"03107426"</f>
        <v>03107426</v>
      </c>
      <c r="C597" t="s">
        <v>2584</v>
      </c>
      <c r="D597" t="s">
        <v>2585</v>
      </c>
      <c r="E597" t="s">
        <v>2584</v>
      </c>
      <c r="G597" t="s">
        <v>289</v>
      </c>
      <c r="H597" t="s">
        <v>290</v>
      </c>
      <c r="J597" t="s">
        <v>291</v>
      </c>
      <c r="L597" t="s">
        <v>373</v>
      </c>
      <c r="M597" t="s">
        <v>107</v>
      </c>
      <c r="R597" t="s">
        <v>2584</v>
      </c>
      <c r="W597" t="s">
        <v>2584</v>
      </c>
      <c r="X597" t="s">
        <v>1403</v>
      </c>
      <c r="Y597" t="s">
        <v>422</v>
      </c>
      <c r="Z597" t="s">
        <v>110</v>
      </c>
      <c r="AA597" t="str">
        <f>"11432-1121"</f>
        <v>11432-1121</v>
      </c>
      <c r="AB597" t="s">
        <v>111</v>
      </c>
      <c r="AC597" t="s">
        <v>112</v>
      </c>
      <c r="AD597" t="s">
        <v>107</v>
      </c>
      <c r="AE597" t="s">
        <v>113</v>
      </c>
      <c r="AG597" t="s">
        <v>114</v>
      </c>
    </row>
    <row r="598" spans="1:33" x14ac:dyDescent="0.25">
      <c r="A598" t="str">
        <f>"1730424953"</f>
        <v>1730424953</v>
      </c>
      <c r="B598" t="str">
        <f>"03808826"</f>
        <v>03808826</v>
      </c>
      <c r="C598" t="s">
        <v>2586</v>
      </c>
      <c r="D598" t="s">
        <v>2587</v>
      </c>
      <c r="E598" t="s">
        <v>2588</v>
      </c>
      <c r="G598" t="s">
        <v>289</v>
      </c>
      <c r="H598" t="s">
        <v>290</v>
      </c>
      <c r="J598" t="s">
        <v>291</v>
      </c>
      <c r="L598" t="s">
        <v>117</v>
      </c>
      <c r="M598" t="s">
        <v>107</v>
      </c>
      <c r="R598" t="s">
        <v>2586</v>
      </c>
      <c r="W598" t="s">
        <v>2588</v>
      </c>
      <c r="X598" t="s">
        <v>1195</v>
      </c>
      <c r="Y598" t="s">
        <v>481</v>
      </c>
      <c r="Z598" t="s">
        <v>110</v>
      </c>
      <c r="AA598" t="str">
        <f>"11427-2193"</f>
        <v>11427-2193</v>
      </c>
      <c r="AB598" t="s">
        <v>172</v>
      </c>
      <c r="AC598" t="s">
        <v>112</v>
      </c>
      <c r="AD598" t="s">
        <v>107</v>
      </c>
      <c r="AE598" t="s">
        <v>113</v>
      </c>
      <c r="AG598" t="s">
        <v>114</v>
      </c>
    </row>
    <row r="599" spans="1:33" x14ac:dyDescent="0.25">
      <c r="A599" t="str">
        <f>"1659403129"</f>
        <v>1659403129</v>
      </c>
      <c r="B599" t="str">
        <f>"01912110"</f>
        <v>01912110</v>
      </c>
      <c r="C599" t="s">
        <v>2589</v>
      </c>
      <c r="D599" t="s">
        <v>2590</v>
      </c>
      <c r="E599" t="s">
        <v>2589</v>
      </c>
      <c r="G599" t="s">
        <v>1248</v>
      </c>
      <c r="H599" t="s">
        <v>1249</v>
      </c>
      <c r="I599">
        <v>216</v>
      </c>
      <c r="J599" t="s">
        <v>1250</v>
      </c>
      <c r="L599" t="s">
        <v>106</v>
      </c>
      <c r="M599" t="s">
        <v>107</v>
      </c>
      <c r="R599" t="s">
        <v>2589</v>
      </c>
      <c r="W599" t="s">
        <v>2591</v>
      </c>
      <c r="X599" t="s">
        <v>2592</v>
      </c>
      <c r="Y599" t="s">
        <v>240</v>
      </c>
      <c r="Z599" t="s">
        <v>110</v>
      </c>
      <c r="AA599" t="str">
        <f>"11214-4532"</f>
        <v>11214-4532</v>
      </c>
      <c r="AB599" t="s">
        <v>326</v>
      </c>
      <c r="AC599" t="s">
        <v>112</v>
      </c>
      <c r="AD599" t="s">
        <v>107</v>
      </c>
      <c r="AE599" t="s">
        <v>113</v>
      </c>
      <c r="AG599" t="s">
        <v>114</v>
      </c>
    </row>
    <row r="600" spans="1:33" x14ac:dyDescent="0.25">
      <c r="A600" t="str">
        <f>"1962403691"</f>
        <v>1962403691</v>
      </c>
      <c r="B600" t="str">
        <f>"01598425"</f>
        <v>01598425</v>
      </c>
      <c r="C600" t="s">
        <v>2593</v>
      </c>
      <c r="D600" t="s">
        <v>2594</v>
      </c>
      <c r="E600" t="s">
        <v>2595</v>
      </c>
      <c r="G600" t="s">
        <v>1248</v>
      </c>
      <c r="H600" t="s">
        <v>1249</v>
      </c>
      <c r="I600">
        <v>216</v>
      </c>
      <c r="J600" t="s">
        <v>1250</v>
      </c>
      <c r="L600" t="s">
        <v>215</v>
      </c>
      <c r="M600" t="s">
        <v>107</v>
      </c>
      <c r="R600" t="s">
        <v>2593</v>
      </c>
      <c r="W600" t="s">
        <v>2595</v>
      </c>
      <c r="X600" t="s">
        <v>2596</v>
      </c>
      <c r="Y600" t="s">
        <v>207</v>
      </c>
      <c r="Z600" t="s">
        <v>110</v>
      </c>
      <c r="AA600" t="str">
        <f>"11375-7417"</f>
        <v>11375-7417</v>
      </c>
      <c r="AB600" t="s">
        <v>172</v>
      </c>
      <c r="AC600" t="s">
        <v>112</v>
      </c>
      <c r="AD600" t="s">
        <v>107</v>
      </c>
      <c r="AE600" t="s">
        <v>113</v>
      </c>
      <c r="AG600" t="s">
        <v>114</v>
      </c>
    </row>
    <row r="601" spans="1:33" x14ac:dyDescent="0.25">
      <c r="A601" t="str">
        <f>"1336223783"</f>
        <v>1336223783</v>
      </c>
      <c r="B601" t="str">
        <f>"00903053"</f>
        <v>00903053</v>
      </c>
      <c r="C601" t="s">
        <v>2597</v>
      </c>
      <c r="D601" t="s">
        <v>2598</v>
      </c>
      <c r="E601" t="s">
        <v>2599</v>
      </c>
      <c r="G601" t="s">
        <v>244</v>
      </c>
      <c r="H601" t="s">
        <v>245</v>
      </c>
      <c r="I601">
        <v>3484</v>
      </c>
      <c r="J601" t="s">
        <v>246</v>
      </c>
      <c r="L601" t="s">
        <v>166</v>
      </c>
      <c r="M601" t="s">
        <v>167</v>
      </c>
      <c r="R601" t="s">
        <v>2597</v>
      </c>
      <c r="W601" t="s">
        <v>2599</v>
      </c>
      <c r="X601" t="s">
        <v>2600</v>
      </c>
      <c r="Y601" t="s">
        <v>225</v>
      </c>
      <c r="Z601" t="s">
        <v>110</v>
      </c>
      <c r="AA601" t="str">
        <f>"11355-2640"</f>
        <v>11355-2640</v>
      </c>
      <c r="AB601" t="s">
        <v>172</v>
      </c>
      <c r="AC601" t="s">
        <v>112</v>
      </c>
      <c r="AD601" t="s">
        <v>107</v>
      </c>
      <c r="AE601" t="s">
        <v>113</v>
      </c>
      <c r="AG601" t="s">
        <v>114</v>
      </c>
    </row>
    <row r="602" spans="1:33" x14ac:dyDescent="0.25">
      <c r="A602" t="str">
        <f>"1033257126"</f>
        <v>1033257126</v>
      </c>
      <c r="C602" t="s">
        <v>2601</v>
      </c>
      <c r="G602" t="s">
        <v>2602</v>
      </c>
      <c r="H602" t="s">
        <v>2603</v>
      </c>
      <c r="I602">
        <v>354</v>
      </c>
      <c r="J602" t="s">
        <v>2604</v>
      </c>
      <c r="K602" t="s">
        <v>2605</v>
      </c>
      <c r="L602" t="s">
        <v>373</v>
      </c>
      <c r="M602" t="s">
        <v>107</v>
      </c>
      <c r="R602" t="s">
        <v>2601</v>
      </c>
      <c r="S602" t="s">
        <v>2606</v>
      </c>
      <c r="T602" t="s">
        <v>481</v>
      </c>
      <c r="U602" t="s">
        <v>110</v>
      </c>
      <c r="V602" t="str">
        <f>"114292837"</f>
        <v>114292837</v>
      </c>
      <c r="AC602" t="s">
        <v>112</v>
      </c>
      <c r="AD602" t="s">
        <v>107</v>
      </c>
      <c r="AE602" t="s">
        <v>278</v>
      </c>
      <c r="AG602" t="s">
        <v>114</v>
      </c>
    </row>
    <row r="603" spans="1:33" x14ac:dyDescent="0.25">
      <c r="A603" t="str">
        <f>"1053452433"</f>
        <v>1053452433</v>
      </c>
      <c r="C603" t="s">
        <v>2601</v>
      </c>
      <c r="G603" t="s">
        <v>2602</v>
      </c>
      <c r="H603" t="s">
        <v>2603</v>
      </c>
      <c r="I603">
        <v>354</v>
      </c>
      <c r="J603" t="s">
        <v>2604</v>
      </c>
      <c r="K603" t="s">
        <v>2605</v>
      </c>
      <c r="L603" t="s">
        <v>373</v>
      </c>
      <c r="M603" t="s">
        <v>107</v>
      </c>
      <c r="R603" t="s">
        <v>2601</v>
      </c>
      <c r="S603" t="s">
        <v>2607</v>
      </c>
      <c r="T603" t="s">
        <v>481</v>
      </c>
      <c r="U603" t="s">
        <v>110</v>
      </c>
      <c r="V603" t="str">
        <f>"114281328"</f>
        <v>114281328</v>
      </c>
      <c r="AC603" t="s">
        <v>112</v>
      </c>
      <c r="AD603" t="s">
        <v>107</v>
      </c>
      <c r="AE603" t="s">
        <v>278</v>
      </c>
      <c r="AG603" t="s">
        <v>114</v>
      </c>
    </row>
    <row r="604" spans="1:33" x14ac:dyDescent="0.25">
      <c r="A604" t="str">
        <f>"1073651956"</f>
        <v>1073651956</v>
      </c>
      <c r="C604" t="s">
        <v>2601</v>
      </c>
      <c r="G604" t="s">
        <v>2602</v>
      </c>
      <c r="H604" t="s">
        <v>2603</v>
      </c>
      <c r="I604">
        <v>354</v>
      </c>
      <c r="J604" t="s">
        <v>2604</v>
      </c>
      <c r="K604" t="s">
        <v>2605</v>
      </c>
      <c r="L604" t="s">
        <v>373</v>
      </c>
      <c r="M604" t="s">
        <v>107</v>
      </c>
      <c r="R604" t="s">
        <v>2601</v>
      </c>
      <c r="S604" t="s">
        <v>2608</v>
      </c>
      <c r="T604" t="s">
        <v>2609</v>
      </c>
      <c r="U604" t="s">
        <v>110</v>
      </c>
      <c r="V604" t="str">
        <f>"114131313"</f>
        <v>114131313</v>
      </c>
      <c r="AC604" t="s">
        <v>112</v>
      </c>
      <c r="AD604" t="s">
        <v>107</v>
      </c>
      <c r="AE604" t="s">
        <v>278</v>
      </c>
      <c r="AG604" t="s">
        <v>114</v>
      </c>
    </row>
    <row r="605" spans="1:33" x14ac:dyDescent="0.25">
      <c r="A605" t="str">
        <f>"1073668539"</f>
        <v>1073668539</v>
      </c>
      <c r="C605" t="s">
        <v>2601</v>
      </c>
      <c r="G605" t="s">
        <v>2602</v>
      </c>
      <c r="H605" t="s">
        <v>2603</v>
      </c>
      <c r="I605">
        <v>354</v>
      </c>
      <c r="J605" t="s">
        <v>2604</v>
      </c>
      <c r="K605" t="s">
        <v>2605</v>
      </c>
      <c r="L605" t="s">
        <v>373</v>
      </c>
      <c r="M605" t="s">
        <v>107</v>
      </c>
      <c r="R605" t="s">
        <v>2601</v>
      </c>
      <c r="S605" t="s">
        <v>2610</v>
      </c>
      <c r="T605" t="s">
        <v>2611</v>
      </c>
      <c r="U605" t="s">
        <v>110</v>
      </c>
      <c r="V605" t="str">
        <f>"114131550"</f>
        <v>114131550</v>
      </c>
      <c r="AC605" t="s">
        <v>112</v>
      </c>
      <c r="AD605" t="s">
        <v>107</v>
      </c>
      <c r="AE605" t="s">
        <v>278</v>
      </c>
      <c r="AG605" t="s">
        <v>114</v>
      </c>
    </row>
    <row r="606" spans="1:33" x14ac:dyDescent="0.25">
      <c r="A606" t="str">
        <f>"1083760672"</f>
        <v>1083760672</v>
      </c>
      <c r="C606" t="s">
        <v>2601</v>
      </c>
      <c r="G606" t="s">
        <v>2602</v>
      </c>
      <c r="H606" t="s">
        <v>2603</v>
      </c>
      <c r="I606">
        <v>354</v>
      </c>
      <c r="J606" t="s">
        <v>2604</v>
      </c>
      <c r="K606" t="s">
        <v>2605</v>
      </c>
      <c r="L606" t="s">
        <v>373</v>
      </c>
      <c r="M606" t="s">
        <v>107</v>
      </c>
      <c r="R606" t="s">
        <v>2601</v>
      </c>
      <c r="S606" t="s">
        <v>2612</v>
      </c>
      <c r="T606" t="s">
        <v>2611</v>
      </c>
      <c r="U606" t="s">
        <v>110</v>
      </c>
      <c r="V606" t="str">
        <f>"11413"</f>
        <v>11413</v>
      </c>
      <c r="AC606" t="s">
        <v>112</v>
      </c>
      <c r="AD606" t="s">
        <v>107</v>
      </c>
      <c r="AE606" t="s">
        <v>278</v>
      </c>
      <c r="AG606" t="s">
        <v>114</v>
      </c>
    </row>
    <row r="607" spans="1:33" x14ac:dyDescent="0.25">
      <c r="A607" t="str">
        <f>"1134275712"</f>
        <v>1134275712</v>
      </c>
      <c r="C607" t="s">
        <v>2601</v>
      </c>
      <c r="G607" t="s">
        <v>2602</v>
      </c>
      <c r="H607" t="s">
        <v>2603</v>
      </c>
      <c r="I607">
        <v>354</v>
      </c>
      <c r="J607" t="s">
        <v>2604</v>
      </c>
      <c r="K607" t="s">
        <v>2605</v>
      </c>
      <c r="L607" t="s">
        <v>373</v>
      </c>
      <c r="M607" t="s">
        <v>107</v>
      </c>
      <c r="R607" t="s">
        <v>2601</v>
      </c>
      <c r="S607" t="s">
        <v>2613</v>
      </c>
      <c r="T607" t="s">
        <v>2614</v>
      </c>
      <c r="U607" t="s">
        <v>110</v>
      </c>
      <c r="V607" t="str">
        <f>"11413"</f>
        <v>11413</v>
      </c>
      <c r="AC607" t="s">
        <v>112</v>
      </c>
      <c r="AD607" t="s">
        <v>107</v>
      </c>
      <c r="AE607" t="s">
        <v>278</v>
      </c>
      <c r="AG607" t="s">
        <v>114</v>
      </c>
    </row>
    <row r="608" spans="1:33" x14ac:dyDescent="0.25">
      <c r="A608" t="str">
        <f>"1134260052"</f>
        <v>1134260052</v>
      </c>
      <c r="C608" t="s">
        <v>2601</v>
      </c>
      <c r="G608" t="s">
        <v>2602</v>
      </c>
      <c r="H608" t="s">
        <v>2603</v>
      </c>
      <c r="I608">
        <v>354</v>
      </c>
      <c r="J608" t="s">
        <v>2604</v>
      </c>
      <c r="K608" t="s">
        <v>2605</v>
      </c>
      <c r="L608" t="s">
        <v>373</v>
      </c>
      <c r="M608" t="s">
        <v>107</v>
      </c>
      <c r="R608" t="s">
        <v>2601</v>
      </c>
      <c r="S608" t="s">
        <v>2615</v>
      </c>
      <c r="T608" t="s">
        <v>2526</v>
      </c>
      <c r="U608" t="s">
        <v>110</v>
      </c>
      <c r="V608" t="str">
        <f>"113857433"</f>
        <v>113857433</v>
      </c>
      <c r="AC608" t="s">
        <v>112</v>
      </c>
      <c r="AD608" t="s">
        <v>107</v>
      </c>
      <c r="AE608" t="s">
        <v>278</v>
      </c>
      <c r="AG608" t="s">
        <v>114</v>
      </c>
    </row>
    <row r="609" spans="1:33" x14ac:dyDescent="0.25">
      <c r="A609" t="str">
        <f>"1225179146"</f>
        <v>1225179146</v>
      </c>
      <c r="C609" t="s">
        <v>2601</v>
      </c>
      <c r="G609" t="s">
        <v>2602</v>
      </c>
      <c r="H609" t="s">
        <v>2603</v>
      </c>
      <c r="I609">
        <v>354</v>
      </c>
      <c r="J609" t="s">
        <v>2604</v>
      </c>
      <c r="K609" t="s">
        <v>2605</v>
      </c>
      <c r="L609" t="s">
        <v>373</v>
      </c>
      <c r="M609" t="s">
        <v>107</v>
      </c>
      <c r="R609" t="s">
        <v>2601</v>
      </c>
      <c r="S609" t="s">
        <v>2607</v>
      </c>
      <c r="T609" t="s">
        <v>481</v>
      </c>
      <c r="U609" t="s">
        <v>110</v>
      </c>
      <c r="V609" t="str">
        <f>"114281328"</f>
        <v>114281328</v>
      </c>
      <c r="AC609" t="s">
        <v>112</v>
      </c>
      <c r="AD609" t="s">
        <v>107</v>
      </c>
      <c r="AE609" t="s">
        <v>278</v>
      </c>
      <c r="AG609" t="s">
        <v>114</v>
      </c>
    </row>
    <row r="610" spans="1:33" x14ac:dyDescent="0.25">
      <c r="A610" t="str">
        <f>"1295880714"</f>
        <v>1295880714</v>
      </c>
      <c r="C610" t="s">
        <v>2601</v>
      </c>
      <c r="G610" t="s">
        <v>2602</v>
      </c>
      <c r="H610" t="s">
        <v>2603</v>
      </c>
      <c r="I610">
        <v>354</v>
      </c>
      <c r="J610" t="s">
        <v>2604</v>
      </c>
      <c r="K610" t="s">
        <v>2605</v>
      </c>
      <c r="L610" t="s">
        <v>373</v>
      </c>
      <c r="M610" t="s">
        <v>107</v>
      </c>
      <c r="R610" t="s">
        <v>2601</v>
      </c>
      <c r="S610" t="s">
        <v>2616</v>
      </c>
      <c r="T610" t="s">
        <v>1678</v>
      </c>
      <c r="U610" t="s">
        <v>110</v>
      </c>
      <c r="V610" t="str">
        <f>"113621323"</f>
        <v>113621323</v>
      </c>
      <c r="AC610" t="s">
        <v>112</v>
      </c>
      <c r="AD610" t="s">
        <v>107</v>
      </c>
      <c r="AE610" t="s">
        <v>278</v>
      </c>
      <c r="AG610" t="s">
        <v>114</v>
      </c>
    </row>
    <row r="611" spans="1:33" x14ac:dyDescent="0.25">
      <c r="A611" t="str">
        <f>"1447396312"</f>
        <v>1447396312</v>
      </c>
      <c r="C611" t="s">
        <v>2601</v>
      </c>
      <c r="G611" t="s">
        <v>2602</v>
      </c>
      <c r="H611" t="s">
        <v>2603</v>
      </c>
      <c r="I611">
        <v>354</v>
      </c>
      <c r="J611" t="s">
        <v>2604</v>
      </c>
      <c r="K611" t="s">
        <v>2605</v>
      </c>
      <c r="L611" t="s">
        <v>373</v>
      </c>
      <c r="M611" t="s">
        <v>107</v>
      </c>
      <c r="R611" t="s">
        <v>2601</v>
      </c>
      <c r="S611" t="s">
        <v>2617</v>
      </c>
      <c r="T611" t="s">
        <v>235</v>
      </c>
      <c r="U611" t="s">
        <v>110</v>
      </c>
      <c r="V611" t="str">
        <f>"113601450"</f>
        <v>113601450</v>
      </c>
      <c r="AC611" t="s">
        <v>112</v>
      </c>
      <c r="AD611" t="s">
        <v>107</v>
      </c>
      <c r="AE611" t="s">
        <v>278</v>
      </c>
      <c r="AG611" t="s">
        <v>114</v>
      </c>
    </row>
    <row r="612" spans="1:33" x14ac:dyDescent="0.25">
      <c r="A612" t="str">
        <f>"1497893580"</f>
        <v>1497893580</v>
      </c>
      <c r="C612" t="s">
        <v>2601</v>
      </c>
      <c r="G612" t="s">
        <v>2602</v>
      </c>
      <c r="H612" t="s">
        <v>2603</v>
      </c>
      <c r="I612">
        <v>354</v>
      </c>
      <c r="J612" t="s">
        <v>2604</v>
      </c>
      <c r="K612" t="s">
        <v>2605</v>
      </c>
      <c r="L612" t="s">
        <v>373</v>
      </c>
      <c r="M612" t="s">
        <v>107</v>
      </c>
      <c r="R612" t="s">
        <v>2601</v>
      </c>
      <c r="S612" t="s">
        <v>2618</v>
      </c>
      <c r="T612" t="s">
        <v>422</v>
      </c>
      <c r="U612" t="s">
        <v>110</v>
      </c>
      <c r="V612" t="str">
        <f>"114341421"</f>
        <v>114341421</v>
      </c>
      <c r="AC612" t="s">
        <v>112</v>
      </c>
      <c r="AD612" t="s">
        <v>107</v>
      </c>
      <c r="AE612" t="s">
        <v>278</v>
      </c>
      <c r="AG612" t="s">
        <v>114</v>
      </c>
    </row>
    <row r="613" spans="1:33" x14ac:dyDescent="0.25">
      <c r="A613" t="str">
        <f>"1548306400"</f>
        <v>1548306400</v>
      </c>
      <c r="C613" t="s">
        <v>2601</v>
      </c>
      <c r="G613" t="s">
        <v>2602</v>
      </c>
      <c r="H613" t="s">
        <v>2603</v>
      </c>
      <c r="I613">
        <v>354</v>
      </c>
      <c r="J613" t="s">
        <v>2604</v>
      </c>
      <c r="K613" t="s">
        <v>2605</v>
      </c>
      <c r="L613" t="s">
        <v>373</v>
      </c>
      <c r="M613" t="s">
        <v>107</v>
      </c>
      <c r="R613" t="s">
        <v>2601</v>
      </c>
      <c r="S613" t="s">
        <v>2619</v>
      </c>
      <c r="T613" t="s">
        <v>235</v>
      </c>
      <c r="U613" t="s">
        <v>110</v>
      </c>
      <c r="V613" t="str">
        <f>"113611322"</f>
        <v>113611322</v>
      </c>
      <c r="AC613" t="s">
        <v>112</v>
      </c>
      <c r="AD613" t="s">
        <v>107</v>
      </c>
      <c r="AE613" t="s">
        <v>278</v>
      </c>
      <c r="AG613" t="s">
        <v>114</v>
      </c>
    </row>
    <row r="614" spans="1:33" x14ac:dyDescent="0.25">
      <c r="A614" t="str">
        <f>"1659412013"</f>
        <v>1659412013</v>
      </c>
      <c r="C614" t="s">
        <v>2601</v>
      </c>
      <c r="G614" t="s">
        <v>2602</v>
      </c>
      <c r="H614" t="s">
        <v>2603</v>
      </c>
      <c r="I614">
        <v>354</v>
      </c>
      <c r="J614" t="s">
        <v>2604</v>
      </c>
      <c r="K614" t="s">
        <v>2605</v>
      </c>
      <c r="L614" t="s">
        <v>373</v>
      </c>
      <c r="M614" t="s">
        <v>107</v>
      </c>
      <c r="R614" t="s">
        <v>2601</v>
      </c>
      <c r="S614" t="s">
        <v>2620</v>
      </c>
      <c r="T614" t="s">
        <v>2621</v>
      </c>
      <c r="U614" t="s">
        <v>110</v>
      </c>
      <c r="V614" t="str">
        <f>"118041314"</f>
        <v>118041314</v>
      </c>
      <c r="AC614" t="s">
        <v>112</v>
      </c>
      <c r="AD614" t="s">
        <v>107</v>
      </c>
      <c r="AE614" t="s">
        <v>278</v>
      </c>
      <c r="AG614" t="s">
        <v>114</v>
      </c>
    </row>
    <row r="615" spans="1:33" x14ac:dyDescent="0.25">
      <c r="A615" t="str">
        <f>"1659427623"</f>
        <v>1659427623</v>
      </c>
      <c r="C615" t="s">
        <v>2601</v>
      </c>
      <c r="G615" t="s">
        <v>2602</v>
      </c>
      <c r="H615" t="s">
        <v>2603</v>
      </c>
      <c r="I615">
        <v>354</v>
      </c>
      <c r="J615" t="s">
        <v>2604</v>
      </c>
      <c r="K615" t="s">
        <v>2605</v>
      </c>
      <c r="L615" t="s">
        <v>373</v>
      </c>
      <c r="M615" t="s">
        <v>107</v>
      </c>
      <c r="R615" t="s">
        <v>2601</v>
      </c>
      <c r="S615" t="s">
        <v>2610</v>
      </c>
      <c r="T615" t="s">
        <v>2611</v>
      </c>
      <c r="U615" t="s">
        <v>110</v>
      </c>
      <c r="V615" t="str">
        <f>"114131550"</f>
        <v>114131550</v>
      </c>
      <c r="AC615" t="s">
        <v>112</v>
      </c>
      <c r="AD615" t="s">
        <v>107</v>
      </c>
      <c r="AE615" t="s">
        <v>278</v>
      </c>
      <c r="AG615" t="s">
        <v>114</v>
      </c>
    </row>
    <row r="616" spans="1:33" x14ac:dyDescent="0.25">
      <c r="A616" t="str">
        <f>"1699811562"</f>
        <v>1699811562</v>
      </c>
      <c r="C616" t="s">
        <v>2601</v>
      </c>
      <c r="G616" t="s">
        <v>2602</v>
      </c>
      <c r="H616" t="s">
        <v>2603</v>
      </c>
      <c r="I616">
        <v>354</v>
      </c>
      <c r="J616" t="s">
        <v>2604</v>
      </c>
      <c r="K616" t="s">
        <v>2605</v>
      </c>
      <c r="L616" t="s">
        <v>373</v>
      </c>
      <c r="M616" t="s">
        <v>107</v>
      </c>
      <c r="R616" t="s">
        <v>2601</v>
      </c>
      <c r="S616" t="s">
        <v>2622</v>
      </c>
      <c r="T616" t="s">
        <v>2438</v>
      </c>
      <c r="U616" t="s">
        <v>110</v>
      </c>
      <c r="V616" t="str">
        <f>"114223208"</f>
        <v>114223208</v>
      </c>
      <c r="AC616" t="s">
        <v>112</v>
      </c>
      <c r="AD616" t="s">
        <v>107</v>
      </c>
      <c r="AE616" t="s">
        <v>278</v>
      </c>
      <c r="AG616" t="s">
        <v>114</v>
      </c>
    </row>
    <row r="617" spans="1:33" x14ac:dyDescent="0.25">
      <c r="A617" t="str">
        <f>"1710028055"</f>
        <v>1710028055</v>
      </c>
      <c r="C617" t="s">
        <v>2601</v>
      </c>
      <c r="G617" t="s">
        <v>2602</v>
      </c>
      <c r="H617" t="s">
        <v>2603</v>
      </c>
      <c r="I617">
        <v>354</v>
      </c>
      <c r="J617" t="s">
        <v>2604</v>
      </c>
      <c r="K617" t="s">
        <v>2605</v>
      </c>
      <c r="L617" t="s">
        <v>373</v>
      </c>
      <c r="M617" t="s">
        <v>107</v>
      </c>
      <c r="R617" t="s">
        <v>2601</v>
      </c>
      <c r="S617" t="s">
        <v>2623</v>
      </c>
      <c r="T617" t="s">
        <v>271</v>
      </c>
      <c r="U617" t="s">
        <v>110</v>
      </c>
      <c r="V617" t="str">
        <f>"11553"</f>
        <v>11553</v>
      </c>
      <c r="AC617" t="s">
        <v>112</v>
      </c>
      <c r="AD617" t="s">
        <v>107</v>
      </c>
      <c r="AE617" t="s">
        <v>278</v>
      </c>
      <c r="AG617" t="s">
        <v>114</v>
      </c>
    </row>
    <row r="618" spans="1:33" x14ac:dyDescent="0.25">
      <c r="A618" t="str">
        <f>"1730234220"</f>
        <v>1730234220</v>
      </c>
      <c r="C618" t="s">
        <v>2601</v>
      </c>
      <c r="G618" t="s">
        <v>2602</v>
      </c>
      <c r="H618" t="s">
        <v>2603</v>
      </c>
      <c r="I618">
        <v>354</v>
      </c>
      <c r="J618" t="s">
        <v>2604</v>
      </c>
      <c r="K618" t="s">
        <v>2605</v>
      </c>
      <c r="L618" t="s">
        <v>373</v>
      </c>
      <c r="M618" t="s">
        <v>107</v>
      </c>
      <c r="R618" t="s">
        <v>2601</v>
      </c>
      <c r="S618" t="s">
        <v>2624</v>
      </c>
      <c r="T618" t="s">
        <v>271</v>
      </c>
      <c r="U618" t="s">
        <v>110</v>
      </c>
      <c r="V618" t="str">
        <f>"115308165"</f>
        <v>115308165</v>
      </c>
      <c r="AC618" t="s">
        <v>112</v>
      </c>
      <c r="AD618" t="s">
        <v>107</v>
      </c>
      <c r="AE618" t="s">
        <v>278</v>
      </c>
      <c r="AG618" t="s">
        <v>114</v>
      </c>
    </row>
    <row r="619" spans="1:33" x14ac:dyDescent="0.25">
      <c r="A619" t="str">
        <f>"1780739953"</f>
        <v>1780739953</v>
      </c>
      <c r="C619" t="s">
        <v>2601</v>
      </c>
      <c r="G619" t="s">
        <v>2602</v>
      </c>
      <c r="H619" t="s">
        <v>2603</v>
      </c>
      <c r="I619">
        <v>354</v>
      </c>
      <c r="J619" t="s">
        <v>2604</v>
      </c>
      <c r="K619" t="s">
        <v>2605</v>
      </c>
      <c r="L619" t="s">
        <v>373</v>
      </c>
      <c r="M619" t="s">
        <v>107</v>
      </c>
      <c r="R619" t="s">
        <v>2601</v>
      </c>
      <c r="S619" t="s">
        <v>2625</v>
      </c>
      <c r="T619" t="s">
        <v>969</v>
      </c>
      <c r="U619" t="s">
        <v>110</v>
      </c>
      <c r="V619" t="str">
        <f>"113856714"</f>
        <v>113856714</v>
      </c>
      <c r="AC619" t="s">
        <v>112</v>
      </c>
      <c r="AD619" t="s">
        <v>107</v>
      </c>
      <c r="AE619" t="s">
        <v>278</v>
      </c>
      <c r="AG619" t="s">
        <v>114</v>
      </c>
    </row>
    <row r="620" spans="1:33" x14ac:dyDescent="0.25">
      <c r="A620" t="str">
        <f>"1811262397"</f>
        <v>1811262397</v>
      </c>
      <c r="C620" t="s">
        <v>2601</v>
      </c>
      <c r="G620" t="s">
        <v>2602</v>
      </c>
      <c r="H620" t="s">
        <v>2603</v>
      </c>
      <c r="I620">
        <v>354</v>
      </c>
      <c r="J620" t="s">
        <v>2604</v>
      </c>
      <c r="K620" t="s">
        <v>2605</v>
      </c>
      <c r="L620" t="s">
        <v>373</v>
      </c>
      <c r="M620" t="s">
        <v>107</v>
      </c>
      <c r="R620" t="s">
        <v>2601</v>
      </c>
      <c r="S620" t="s">
        <v>2623</v>
      </c>
      <c r="T620" t="s">
        <v>264</v>
      </c>
      <c r="U620" t="s">
        <v>110</v>
      </c>
      <c r="V620" t="str">
        <f>"115014803"</f>
        <v>115014803</v>
      </c>
      <c r="AC620" t="s">
        <v>112</v>
      </c>
      <c r="AD620" t="s">
        <v>107</v>
      </c>
      <c r="AE620" t="s">
        <v>278</v>
      </c>
      <c r="AG620" t="s">
        <v>114</v>
      </c>
    </row>
    <row r="621" spans="1:33" x14ac:dyDescent="0.25">
      <c r="A621" t="str">
        <f>"1780669887"</f>
        <v>1780669887</v>
      </c>
      <c r="B621" t="str">
        <f>"00224240"</f>
        <v>00224240</v>
      </c>
      <c r="C621" t="s">
        <v>2626</v>
      </c>
      <c r="D621" t="s">
        <v>2627</v>
      </c>
      <c r="E621" t="s">
        <v>2628</v>
      </c>
      <c r="G621" t="s">
        <v>308</v>
      </c>
      <c r="H621" t="s">
        <v>309</v>
      </c>
      <c r="J621" t="s">
        <v>310</v>
      </c>
      <c r="L621" t="s">
        <v>215</v>
      </c>
      <c r="M621" t="s">
        <v>107</v>
      </c>
      <c r="R621" t="s">
        <v>2626</v>
      </c>
      <c r="W621" t="s">
        <v>2628</v>
      </c>
      <c r="X621" t="s">
        <v>2629</v>
      </c>
      <c r="Y621" t="s">
        <v>225</v>
      </c>
      <c r="Z621" t="s">
        <v>110</v>
      </c>
      <c r="AA621" t="str">
        <f>"11365-1414"</f>
        <v>11365-1414</v>
      </c>
      <c r="AB621" t="s">
        <v>172</v>
      </c>
      <c r="AC621" t="s">
        <v>112</v>
      </c>
      <c r="AD621" t="s">
        <v>107</v>
      </c>
      <c r="AE621" t="s">
        <v>113</v>
      </c>
      <c r="AG621" t="s">
        <v>114</v>
      </c>
    </row>
    <row r="622" spans="1:33" x14ac:dyDescent="0.25">
      <c r="A622" t="str">
        <f>"1538336268"</f>
        <v>1538336268</v>
      </c>
      <c r="B622" t="str">
        <f>"03392243"</f>
        <v>03392243</v>
      </c>
      <c r="C622" t="s">
        <v>2630</v>
      </c>
      <c r="D622" t="s">
        <v>2631</v>
      </c>
      <c r="E622" t="s">
        <v>2632</v>
      </c>
      <c r="G622" t="s">
        <v>308</v>
      </c>
      <c r="H622" t="s">
        <v>309</v>
      </c>
      <c r="J622" t="s">
        <v>310</v>
      </c>
      <c r="L622" t="s">
        <v>215</v>
      </c>
      <c r="M622" t="s">
        <v>107</v>
      </c>
      <c r="R622" t="s">
        <v>2630</v>
      </c>
      <c r="W622" t="s">
        <v>2632</v>
      </c>
      <c r="X622" t="s">
        <v>2629</v>
      </c>
      <c r="Y622" t="s">
        <v>225</v>
      </c>
      <c r="Z622" t="s">
        <v>110</v>
      </c>
      <c r="AA622" t="str">
        <f>"11365-1414"</f>
        <v>11365-1414</v>
      </c>
      <c r="AB622" t="s">
        <v>172</v>
      </c>
      <c r="AC622" t="s">
        <v>112</v>
      </c>
      <c r="AD622" t="s">
        <v>107</v>
      </c>
      <c r="AE622" t="s">
        <v>113</v>
      </c>
      <c r="AG622" t="s">
        <v>114</v>
      </c>
    </row>
    <row r="623" spans="1:33" x14ac:dyDescent="0.25">
      <c r="A623" t="str">
        <f>"1104873181"</f>
        <v>1104873181</v>
      </c>
      <c r="B623" t="str">
        <f>"02142854"</f>
        <v>02142854</v>
      </c>
      <c r="C623" t="s">
        <v>2633</v>
      </c>
      <c r="D623" t="s">
        <v>2634</v>
      </c>
      <c r="E623" t="s">
        <v>2635</v>
      </c>
      <c r="G623" t="s">
        <v>308</v>
      </c>
      <c r="H623" t="s">
        <v>309</v>
      </c>
      <c r="J623" t="s">
        <v>310</v>
      </c>
      <c r="L623" t="s">
        <v>106</v>
      </c>
      <c r="M623" t="s">
        <v>107</v>
      </c>
      <c r="R623" t="s">
        <v>2633</v>
      </c>
      <c r="W623" t="s">
        <v>2635</v>
      </c>
      <c r="X623" t="s">
        <v>2636</v>
      </c>
      <c r="Y623" t="s">
        <v>399</v>
      </c>
      <c r="Z623" t="s">
        <v>110</v>
      </c>
      <c r="AA623" t="str">
        <f>"11042-1214"</f>
        <v>11042-1214</v>
      </c>
      <c r="AB623" t="s">
        <v>172</v>
      </c>
      <c r="AC623" t="s">
        <v>112</v>
      </c>
      <c r="AD623" t="s">
        <v>107</v>
      </c>
      <c r="AE623" t="s">
        <v>113</v>
      </c>
      <c r="AG623" t="s">
        <v>114</v>
      </c>
    </row>
    <row r="624" spans="1:33" x14ac:dyDescent="0.25">
      <c r="A624" t="str">
        <f>"1346289733"</f>
        <v>1346289733</v>
      </c>
      <c r="B624" t="str">
        <f>"01722701"</f>
        <v>01722701</v>
      </c>
      <c r="C624" t="s">
        <v>2637</v>
      </c>
      <c r="D624" t="s">
        <v>2638</v>
      </c>
      <c r="E624" t="s">
        <v>2639</v>
      </c>
      <c r="G624" t="s">
        <v>221</v>
      </c>
      <c r="H624" t="s">
        <v>222</v>
      </c>
      <c r="I624">
        <v>203</v>
      </c>
      <c r="J624" t="s">
        <v>223</v>
      </c>
      <c r="L624" t="s">
        <v>166</v>
      </c>
      <c r="M624" t="s">
        <v>167</v>
      </c>
      <c r="R624" t="s">
        <v>2637</v>
      </c>
      <c r="W624" t="s">
        <v>2639</v>
      </c>
      <c r="X624" t="s">
        <v>2640</v>
      </c>
      <c r="Y624" t="s">
        <v>225</v>
      </c>
      <c r="Z624" t="s">
        <v>110</v>
      </c>
      <c r="AA624" t="str">
        <f>"11354-6521"</f>
        <v>11354-6521</v>
      </c>
      <c r="AB624" t="s">
        <v>172</v>
      </c>
      <c r="AC624" t="s">
        <v>112</v>
      </c>
      <c r="AD624" t="s">
        <v>107</v>
      </c>
      <c r="AE624" t="s">
        <v>113</v>
      </c>
      <c r="AG624" t="s">
        <v>114</v>
      </c>
    </row>
    <row r="625" spans="1:33" x14ac:dyDescent="0.25">
      <c r="A625" t="str">
        <f>"1891942645"</f>
        <v>1891942645</v>
      </c>
      <c r="B625" t="str">
        <f>"03291807"</f>
        <v>03291807</v>
      </c>
      <c r="C625" t="s">
        <v>2641</v>
      </c>
      <c r="D625" t="s">
        <v>2642</v>
      </c>
      <c r="E625" t="s">
        <v>2643</v>
      </c>
      <c r="G625" t="s">
        <v>221</v>
      </c>
      <c r="H625" t="s">
        <v>222</v>
      </c>
      <c r="I625">
        <v>203</v>
      </c>
      <c r="J625" t="s">
        <v>223</v>
      </c>
      <c r="L625" t="s">
        <v>166</v>
      </c>
      <c r="M625" t="s">
        <v>167</v>
      </c>
      <c r="R625" t="s">
        <v>2641</v>
      </c>
      <c r="W625" t="s">
        <v>2644</v>
      </c>
      <c r="X625" t="s">
        <v>2645</v>
      </c>
      <c r="Y625" t="s">
        <v>225</v>
      </c>
      <c r="Z625" t="s">
        <v>110</v>
      </c>
      <c r="AA625" t="str">
        <f>"11355-5045"</f>
        <v>11355-5045</v>
      </c>
      <c r="AB625" t="s">
        <v>172</v>
      </c>
      <c r="AC625" t="s">
        <v>112</v>
      </c>
      <c r="AD625" t="s">
        <v>107</v>
      </c>
      <c r="AE625" t="s">
        <v>113</v>
      </c>
      <c r="AG625" t="s">
        <v>114</v>
      </c>
    </row>
    <row r="626" spans="1:33" x14ac:dyDescent="0.25">
      <c r="A626" t="str">
        <f>"1952336877"</f>
        <v>1952336877</v>
      </c>
      <c r="B626" t="str">
        <f>"02811549"</f>
        <v>02811549</v>
      </c>
      <c r="C626" t="s">
        <v>2646</v>
      </c>
      <c r="D626" t="s">
        <v>2647</v>
      </c>
      <c r="E626" t="s">
        <v>2648</v>
      </c>
      <c r="G626" t="s">
        <v>221</v>
      </c>
      <c r="H626" t="s">
        <v>222</v>
      </c>
      <c r="I626">
        <v>203</v>
      </c>
      <c r="J626" t="s">
        <v>223</v>
      </c>
      <c r="L626" t="s">
        <v>166</v>
      </c>
      <c r="M626" t="s">
        <v>167</v>
      </c>
      <c r="R626" t="s">
        <v>2646</v>
      </c>
      <c r="W626" t="s">
        <v>2649</v>
      </c>
      <c r="X626" t="s">
        <v>2650</v>
      </c>
      <c r="Y626" t="s">
        <v>325</v>
      </c>
      <c r="Z626" t="s">
        <v>110</v>
      </c>
      <c r="AA626" t="str">
        <f>"10011-8202"</f>
        <v>10011-8202</v>
      </c>
      <c r="AB626" t="s">
        <v>172</v>
      </c>
      <c r="AC626" t="s">
        <v>112</v>
      </c>
      <c r="AD626" t="s">
        <v>107</v>
      </c>
      <c r="AE626" t="s">
        <v>113</v>
      </c>
      <c r="AG626" t="s">
        <v>114</v>
      </c>
    </row>
    <row r="627" spans="1:33" x14ac:dyDescent="0.25">
      <c r="A627" t="str">
        <f>"1043512221"</f>
        <v>1043512221</v>
      </c>
      <c r="B627" t="str">
        <f>"03292711"</f>
        <v>03292711</v>
      </c>
      <c r="C627" t="s">
        <v>2651</v>
      </c>
      <c r="D627" t="s">
        <v>2652</v>
      </c>
      <c r="E627" t="s">
        <v>2653</v>
      </c>
      <c r="G627" t="s">
        <v>221</v>
      </c>
      <c r="H627" t="s">
        <v>222</v>
      </c>
      <c r="I627">
        <v>203</v>
      </c>
      <c r="J627" t="s">
        <v>223</v>
      </c>
      <c r="L627" t="s">
        <v>117</v>
      </c>
      <c r="M627" t="s">
        <v>107</v>
      </c>
      <c r="R627" t="s">
        <v>2651</v>
      </c>
      <c r="W627" t="s">
        <v>2653</v>
      </c>
      <c r="X627" t="s">
        <v>2654</v>
      </c>
      <c r="Y627" t="s">
        <v>1001</v>
      </c>
      <c r="Z627" t="s">
        <v>110</v>
      </c>
      <c r="AA627" t="str">
        <f>"11691-4420"</f>
        <v>11691-4420</v>
      </c>
      <c r="AB627" t="s">
        <v>606</v>
      </c>
      <c r="AC627" t="s">
        <v>112</v>
      </c>
      <c r="AD627" t="s">
        <v>107</v>
      </c>
      <c r="AE627" t="s">
        <v>113</v>
      </c>
      <c r="AG627" t="s">
        <v>114</v>
      </c>
    </row>
    <row r="628" spans="1:33" x14ac:dyDescent="0.25">
      <c r="A628" t="str">
        <f>"1366496374"</f>
        <v>1366496374</v>
      </c>
      <c r="B628" t="str">
        <f>"00198229"</f>
        <v>00198229</v>
      </c>
      <c r="C628" t="s">
        <v>2655</v>
      </c>
      <c r="D628" t="s">
        <v>2656</v>
      </c>
      <c r="E628" t="s">
        <v>2657</v>
      </c>
      <c r="G628" t="s">
        <v>221</v>
      </c>
      <c r="H628" t="s">
        <v>222</v>
      </c>
      <c r="I628">
        <v>203</v>
      </c>
      <c r="J628" t="s">
        <v>223</v>
      </c>
      <c r="L628" t="s">
        <v>166</v>
      </c>
      <c r="M628" t="s">
        <v>107</v>
      </c>
      <c r="R628" t="s">
        <v>2655</v>
      </c>
      <c r="W628" t="s">
        <v>2657</v>
      </c>
      <c r="X628" t="s">
        <v>2658</v>
      </c>
      <c r="Y628" t="s">
        <v>225</v>
      </c>
      <c r="Z628" t="s">
        <v>110</v>
      </c>
      <c r="AA628" t="str">
        <f>"11355-2205"</f>
        <v>11355-2205</v>
      </c>
      <c r="AB628" t="s">
        <v>172</v>
      </c>
      <c r="AC628" t="s">
        <v>112</v>
      </c>
      <c r="AD628" t="s">
        <v>107</v>
      </c>
      <c r="AE628" t="s">
        <v>113</v>
      </c>
      <c r="AG628" t="s">
        <v>114</v>
      </c>
    </row>
    <row r="629" spans="1:33" x14ac:dyDescent="0.25">
      <c r="A629" t="str">
        <f>"1174615843"</f>
        <v>1174615843</v>
      </c>
      <c r="B629" t="str">
        <f>"01839436"</f>
        <v>01839436</v>
      </c>
      <c r="C629" t="s">
        <v>2659</v>
      </c>
      <c r="D629" t="s">
        <v>2660</v>
      </c>
      <c r="E629" t="s">
        <v>2661</v>
      </c>
      <c r="G629" t="s">
        <v>289</v>
      </c>
      <c r="H629" t="s">
        <v>290</v>
      </c>
      <c r="J629" t="s">
        <v>291</v>
      </c>
      <c r="L629" t="s">
        <v>117</v>
      </c>
      <c r="M629" t="s">
        <v>167</v>
      </c>
      <c r="R629" t="s">
        <v>2659</v>
      </c>
      <c r="W629" t="s">
        <v>2659</v>
      </c>
      <c r="X629" t="s">
        <v>311</v>
      </c>
      <c r="Y629" t="s">
        <v>225</v>
      </c>
      <c r="Z629" t="s">
        <v>110</v>
      </c>
      <c r="AA629" t="str">
        <f>"11355-5045"</f>
        <v>11355-5045</v>
      </c>
      <c r="AB629" t="s">
        <v>172</v>
      </c>
      <c r="AC629" t="s">
        <v>112</v>
      </c>
      <c r="AD629" t="s">
        <v>107</v>
      </c>
      <c r="AE629" t="s">
        <v>113</v>
      </c>
      <c r="AG629" t="s">
        <v>114</v>
      </c>
    </row>
    <row r="630" spans="1:33" x14ac:dyDescent="0.25">
      <c r="A630" t="str">
        <f>"1184666109"</f>
        <v>1184666109</v>
      </c>
      <c r="B630" t="str">
        <f>"01926865"</f>
        <v>01926865</v>
      </c>
      <c r="C630" t="s">
        <v>2662</v>
      </c>
      <c r="D630" t="s">
        <v>2663</v>
      </c>
      <c r="E630" t="s">
        <v>2664</v>
      </c>
      <c r="G630" t="s">
        <v>289</v>
      </c>
      <c r="H630" t="s">
        <v>290</v>
      </c>
      <c r="J630" t="s">
        <v>291</v>
      </c>
      <c r="L630" t="s">
        <v>117</v>
      </c>
      <c r="M630" t="s">
        <v>167</v>
      </c>
      <c r="R630" t="s">
        <v>2662</v>
      </c>
      <c r="W630" t="s">
        <v>2665</v>
      </c>
      <c r="X630" t="s">
        <v>2666</v>
      </c>
      <c r="Y630" t="s">
        <v>240</v>
      </c>
      <c r="Z630" t="s">
        <v>110</v>
      </c>
      <c r="AA630" t="str">
        <f>"11203-1809"</f>
        <v>11203-1809</v>
      </c>
      <c r="AB630" t="s">
        <v>172</v>
      </c>
      <c r="AC630" t="s">
        <v>112</v>
      </c>
      <c r="AD630" t="s">
        <v>107</v>
      </c>
      <c r="AE630" t="s">
        <v>113</v>
      </c>
      <c r="AG630" t="s">
        <v>114</v>
      </c>
    </row>
    <row r="631" spans="1:33" x14ac:dyDescent="0.25">
      <c r="A631" t="str">
        <f>"1831275031"</f>
        <v>1831275031</v>
      </c>
      <c r="B631" t="str">
        <f>"02658717"</f>
        <v>02658717</v>
      </c>
      <c r="C631" t="s">
        <v>2667</v>
      </c>
      <c r="D631" t="s">
        <v>2668</v>
      </c>
      <c r="E631" t="s">
        <v>2669</v>
      </c>
      <c r="G631" t="s">
        <v>289</v>
      </c>
      <c r="H631" t="s">
        <v>290</v>
      </c>
      <c r="J631" t="s">
        <v>291</v>
      </c>
      <c r="L631" t="s">
        <v>106</v>
      </c>
      <c r="M631" t="s">
        <v>107</v>
      </c>
      <c r="R631" t="s">
        <v>2667</v>
      </c>
      <c r="W631" t="s">
        <v>2670</v>
      </c>
      <c r="X631" t="s">
        <v>2671</v>
      </c>
      <c r="Y631" t="s">
        <v>240</v>
      </c>
      <c r="Z631" t="s">
        <v>110</v>
      </c>
      <c r="AA631" t="str">
        <f>"11217-1024"</f>
        <v>11217-1024</v>
      </c>
      <c r="AB631" t="s">
        <v>172</v>
      </c>
      <c r="AC631" t="s">
        <v>112</v>
      </c>
      <c r="AD631" t="s">
        <v>107</v>
      </c>
      <c r="AE631" t="s">
        <v>113</v>
      </c>
      <c r="AG631" t="s">
        <v>114</v>
      </c>
    </row>
    <row r="632" spans="1:33" x14ac:dyDescent="0.25">
      <c r="A632" t="str">
        <f>"1710050554"</f>
        <v>1710050554</v>
      </c>
      <c r="B632" t="str">
        <f>"01108727"</f>
        <v>01108727</v>
      </c>
      <c r="C632" t="s">
        <v>2672</v>
      </c>
      <c r="D632" t="s">
        <v>2673</v>
      </c>
      <c r="E632" t="s">
        <v>2674</v>
      </c>
      <c r="G632" t="s">
        <v>360</v>
      </c>
      <c r="H632" t="s">
        <v>361</v>
      </c>
      <c r="I632">
        <v>122</v>
      </c>
      <c r="J632" t="s">
        <v>362</v>
      </c>
      <c r="L632" t="s">
        <v>405</v>
      </c>
      <c r="M632" t="s">
        <v>167</v>
      </c>
      <c r="R632" t="s">
        <v>2675</v>
      </c>
      <c r="W632" t="s">
        <v>2676</v>
      </c>
      <c r="X632" t="s">
        <v>2677</v>
      </c>
      <c r="Y632" t="s">
        <v>422</v>
      </c>
      <c r="Z632" t="s">
        <v>110</v>
      </c>
      <c r="AA632" t="str">
        <f>"11432-5517"</f>
        <v>11432-5517</v>
      </c>
      <c r="AB632" t="s">
        <v>408</v>
      </c>
      <c r="AC632" t="s">
        <v>112</v>
      </c>
      <c r="AD632" t="s">
        <v>107</v>
      </c>
      <c r="AE632" t="s">
        <v>113</v>
      </c>
      <c r="AG632" t="s">
        <v>114</v>
      </c>
    </row>
    <row r="633" spans="1:33" x14ac:dyDescent="0.25">
      <c r="A633" t="str">
        <f>"1407917289"</f>
        <v>1407917289</v>
      </c>
      <c r="B633" t="str">
        <f>"03174912"</f>
        <v>03174912</v>
      </c>
      <c r="C633" t="s">
        <v>2678</v>
      </c>
      <c r="D633" t="s">
        <v>2679</v>
      </c>
      <c r="E633" t="s">
        <v>2680</v>
      </c>
      <c r="G633" t="s">
        <v>176</v>
      </c>
      <c r="H633" t="s">
        <v>177</v>
      </c>
      <c r="I633">
        <v>3264</v>
      </c>
      <c r="J633" t="s">
        <v>178</v>
      </c>
      <c r="L633" t="s">
        <v>166</v>
      </c>
      <c r="M633" t="s">
        <v>167</v>
      </c>
      <c r="R633" t="s">
        <v>2678</v>
      </c>
      <c r="W633" t="s">
        <v>2681</v>
      </c>
      <c r="X633" t="s">
        <v>239</v>
      </c>
      <c r="Y633" t="s">
        <v>240</v>
      </c>
      <c r="Z633" t="s">
        <v>110</v>
      </c>
      <c r="AA633" t="str">
        <f>"11216-3903"</f>
        <v>11216-3903</v>
      </c>
      <c r="AB633" t="s">
        <v>172</v>
      </c>
      <c r="AC633" t="s">
        <v>112</v>
      </c>
      <c r="AD633" t="s">
        <v>107</v>
      </c>
      <c r="AE633" t="s">
        <v>113</v>
      </c>
      <c r="AG633" t="s">
        <v>114</v>
      </c>
    </row>
    <row r="634" spans="1:33" x14ac:dyDescent="0.25">
      <c r="A634" t="str">
        <f>"1154469799"</f>
        <v>1154469799</v>
      </c>
      <c r="B634" t="str">
        <f>"00477909"</f>
        <v>00477909</v>
      </c>
      <c r="C634" t="s">
        <v>2682</v>
      </c>
      <c r="D634" t="s">
        <v>2683</v>
      </c>
      <c r="E634" t="s">
        <v>2684</v>
      </c>
      <c r="G634" t="s">
        <v>402</v>
      </c>
      <c r="H634" t="s">
        <v>403</v>
      </c>
      <c r="J634" t="s">
        <v>404</v>
      </c>
      <c r="L634" t="s">
        <v>106</v>
      </c>
      <c r="M634" t="s">
        <v>107</v>
      </c>
      <c r="R634" t="s">
        <v>2682</v>
      </c>
      <c r="W634" t="s">
        <v>2685</v>
      </c>
      <c r="X634" t="s">
        <v>2686</v>
      </c>
      <c r="Y634" t="s">
        <v>240</v>
      </c>
      <c r="Z634" t="s">
        <v>110</v>
      </c>
      <c r="AA634" t="str">
        <f>"11219-4210"</f>
        <v>11219-4210</v>
      </c>
      <c r="AB634" t="s">
        <v>172</v>
      </c>
      <c r="AC634" t="s">
        <v>112</v>
      </c>
      <c r="AD634" t="s">
        <v>107</v>
      </c>
      <c r="AE634" t="s">
        <v>113</v>
      </c>
      <c r="AG634" t="s">
        <v>114</v>
      </c>
    </row>
    <row r="635" spans="1:33" x14ac:dyDescent="0.25">
      <c r="A635" t="str">
        <f>"1003857616"</f>
        <v>1003857616</v>
      </c>
      <c r="B635" t="str">
        <f>"01108507"</f>
        <v>01108507</v>
      </c>
      <c r="C635" t="s">
        <v>2687</v>
      </c>
      <c r="D635" t="s">
        <v>2688</v>
      </c>
      <c r="E635" t="s">
        <v>2689</v>
      </c>
      <c r="G635" t="s">
        <v>195</v>
      </c>
      <c r="H635" t="s">
        <v>196</v>
      </c>
      <c r="J635" t="s">
        <v>197</v>
      </c>
      <c r="L635" t="s">
        <v>166</v>
      </c>
      <c r="M635" t="s">
        <v>107</v>
      </c>
      <c r="R635" t="s">
        <v>2687</v>
      </c>
      <c r="W635" t="s">
        <v>2689</v>
      </c>
      <c r="X635" t="s">
        <v>502</v>
      </c>
      <c r="Y635" t="s">
        <v>225</v>
      </c>
      <c r="Z635" t="s">
        <v>110</v>
      </c>
      <c r="AA635" t="str">
        <f>"11355-5060"</f>
        <v>11355-5060</v>
      </c>
      <c r="AB635" t="s">
        <v>172</v>
      </c>
      <c r="AC635" t="s">
        <v>112</v>
      </c>
      <c r="AD635" t="s">
        <v>107</v>
      </c>
      <c r="AE635" t="s">
        <v>113</v>
      </c>
      <c r="AG635" t="s">
        <v>114</v>
      </c>
    </row>
    <row r="636" spans="1:33" x14ac:dyDescent="0.25">
      <c r="A636" t="str">
        <f>"1952557316"</f>
        <v>1952557316</v>
      </c>
      <c r="B636" t="str">
        <f>"03241389"</f>
        <v>03241389</v>
      </c>
      <c r="C636" t="s">
        <v>2690</v>
      </c>
      <c r="D636" t="s">
        <v>2691</v>
      </c>
      <c r="E636" t="s">
        <v>2692</v>
      </c>
      <c r="G636" t="s">
        <v>195</v>
      </c>
      <c r="H636" t="s">
        <v>196</v>
      </c>
      <c r="J636" t="s">
        <v>197</v>
      </c>
      <c r="L636" t="s">
        <v>215</v>
      </c>
      <c r="M636" t="s">
        <v>167</v>
      </c>
      <c r="R636" t="s">
        <v>2690</v>
      </c>
      <c r="W636" t="s">
        <v>2692</v>
      </c>
      <c r="X636" t="s">
        <v>311</v>
      </c>
      <c r="Y636" t="s">
        <v>225</v>
      </c>
      <c r="Z636" t="s">
        <v>110</v>
      </c>
      <c r="AA636" t="str">
        <f>"11355-5045"</f>
        <v>11355-5045</v>
      </c>
      <c r="AB636" t="s">
        <v>172</v>
      </c>
      <c r="AC636" t="s">
        <v>112</v>
      </c>
      <c r="AD636" t="s">
        <v>107</v>
      </c>
      <c r="AE636" t="s">
        <v>113</v>
      </c>
      <c r="AG636" t="s">
        <v>114</v>
      </c>
    </row>
    <row r="637" spans="1:33" x14ac:dyDescent="0.25">
      <c r="A637" t="str">
        <f>"1427387448"</f>
        <v>1427387448</v>
      </c>
      <c r="B637" t="str">
        <f>"03214019"</f>
        <v>03214019</v>
      </c>
      <c r="C637" t="s">
        <v>2693</v>
      </c>
      <c r="D637" t="s">
        <v>2694</v>
      </c>
      <c r="E637" t="s">
        <v>2695</v>
      </c>
      <c r="G637" t="s">
        <v>212</v>
      </c>
      <c r="H637" t="s">
        <v>213</v>
      </c>
      <c r="J637" t="s">
        <v>214</v>
      </c>
      <c r="L637" t="s">
        <v>166</v>
      </c>
      <c r="M637" t="s">
        <v>167</v>
      </c>
      <c r="R637" t="s">
        <v>2693</v>
      </c>
      <c r="W637" t="s">
        <v>2695</v>
      </c>
      <c r="X637" t="s">
        <v>2696</v>
      </c>
      <c r="Y637" t="s">
        <v>240</v>
      </c>
      <c r="Z637" t="s">
        <v>110</v>
      </c>
      <c r="AA637" t="str">
        <f>"11208-3535"</f>
        <v>11208-3535</v>
      </c>
      <c r="AB637" t="s">
        <v>172</v>
      </c>
      <c r="AC637" t="s">
        <v>112</v>
      </c>
      <c r="AD637" t="s">
        <v>107</v>
      </c>
      <c r="AE637" t="s">
        <v>113</v>
      </c>
      <c r="AG637" t="s">
        <v>114</v>
      </c>
    </row>
    <row r="638" spans="1:33" x14ac:dyDescent="0.25">
      <c r="A638" t="str">
        <f>"1235235763"</f>
        <v>1235235763</v>
      </c>
      <c r="B638" t="str">
        <f>"00199115"</f>
        <v>00199115</v>
      </c>
      <c r="C638" t="s">
        <v>2697</v>
      </c>
      <c r="D638" t="s">
        <v>2698</v>
      </c>
      <c r="E638" t="s">
        <v>2699</v>
      </c>
      <c r="G638" t="s">
        <v>195</v>
      </c>
      <c r="H638" t="s">
        <v>196</v>
      </c>
      <c r="J638" t="s">
        <v>197</v>
      </c>
      <c r="L638" t="s">
        <v>166</v>
      </c>
      <c r="M638" t="s">
        <v>107</v>
      </c>
      <c r="R638" t="s">
        <v>2697</v>
      </c>
      <c r="W638" t="s">
        <v>2700</v>
      </c>
      <c r="X638" t="s">
        <v>2701</v>
      </c>
      <c r="Y638" t="s">
        <v>225</v>
      </c>
      <c r="Z638" t="s">
        <v>110</v>
      </c>
      <c r="AA638" t="str">
        <f>"11355"</f>
        <v>11355</v>
      </c>
      <c r="AB638" t="s">
        <v>172</v>
      </c>
      <c r="AC638" t="s">
        <v>112</v>
      </c>
      <c r="AD638" t="s">
        <v>107</v>
      </c>
      <c r="AE638" t="s">
        <v>113</v>
      </c>
      <c r="AG638" t="s">
        <v>114</v>
      </c>
    </row>
    <row r="639" spans="1:33" x14ac:dyDescent="0.25">
      <c r="A639" t="str">
        <f>"1205827680"</f>
        <v>1205827680</v>
      </c>
      <c r="B639" t="str">
        <f>"02229674"</f>
        <v>02229674</v>
      </c>
      <c r="C639" t="s">
        <v>2702</v>
      </c>
      <c r="D639" t="s">
        <v>2703</v>
      </c>
      <c r="E639" t="s">
        <v>2704</v>
      </c>
      <c r="G639" t="s">
        <v>412</v>
      </c>
      <c r="H639" t="s">
        <v>413</v>
      </c>
      <c r="J639" t="s">
        <v>414</v>
      </c>
      <c r="L639" t="s">
        <v>215</v>
      </c>
      <c r="M639" t="s">
        <v>167</v>
      </c>
      <c r="R639" t="s">
        <v>2702</v>
      </c>
      <c r="W639" t="s">
        <v>2704</v>
      </c>
      <c r="X639" t="s">
        <v>398</v>
      </c>
      <c r="Y639" t="s">
        <v>399</v>
      </c>
      <c r="Z639" t="s">
        <v>110</v>
      </c>
      <c r="AA639" t="str">
        <f>"11040-1436"</f>
        <v>11040-1436</v>
      </c>
      <c r="AB639" t="s">
        <v>172</v>
      </c>
      <c r="AC639" t="s">
        <v>112</v>
      </c>
      <c r="AD639" t="s">
        <v>107</v>
      </c>
      <c r="AE639" t="s">
        <v>113</v>
      </c>
      <c r="AG639" t="s">
        <v>114</v>
      </c>
    </row>
    <row r="640" spans="1:33" x14ac:dyDescent="0.25">
      <c r="A640" t="str">
        <f>"1609947191"</f>
        <v>1609947191</v>
      </c>
      <c r="B640" t="str">
        <f>"02039912"</f>
        <v>02039912</v>
      </c>
      <c r="C640" t="s">
        <v>2705</v>
      </c>
      <c r="D640" t="s">
        <v>2706</v>
      </c>
      <c r="E640" t="s">
        <v>2707</v>
      </c>
      <c r="G640" t="s">
        <v>378</v>
      </c>
      <c r="H640" t="s">
        <v>379</v>
      </c>
      <c r="I640">
        <v>203</v>
      </c>
      <c r="J640" t="s">
        <v>380</v>
      </c>
      <c r="L640" t="s">
        <v>166</v>
      </c>
      <c r="M640" t="s">
        <v>167</v>
      </c>
      <c r="R640" t="s">
        <v>2705</v>
      </c>
      <c r="W640" t="s">
        <v>2707</v>
      </c>
      <c r="X640" t="s">
        <v>2708</v>
      </c>
      <c r="Y640" t="s">
        <v>225</v>
      </c>
      <c r="Z640" t="s">
        <v>110</v>
      </c>
      <c r="AA640" t="str">
        <f>"11355"</f>
        <v>11355</v>
      </c>
      <c r="AB640" t="s">
        <v>172</v>
      </c>
      <c r="AC640" t="s">
        <v>112</v>
      </c>
      <c r="AD640" t="s">
        <v>107</v>
      </c>
      <c r="AE640" t="s">
        <v>113</v>
      </c>
      <c r="AG640" t="s">
        <v>114</v>
      </c>
    </row>
    <row r="641" spans="1:33" x14ac:dyDescent="0.25">
      <c r="A641" t="str">
        <f>"1316938988"</f>
        <v>1316938988</v>
      </c>
      <c r="B641" t="str">
        <f>"01697805"</f>
        <v>01697805</v>
      </c>
      <c r="C641" t="s">
        <v>2709</v>
      </c>
      <c r="D641" t="s">
        <v>2710</v>
      </c>
      <c r="E641" t="s">
        <v>2711</v>
      </c>
      <c r="G641" t="s">
        <v>412</v>
      </c>
      <c r="H641" t="s">
        <v>413</v>
      </c>
      <c r="J641" t="s">
        <v>414</v>
      </c>
      <c r="L641" t="s">
        <v>315</v>
      </c>
      <c r="M641" t="s">
        <v>167</v>
      </c>
      <c r="R641" t="s">
        <v>2709</v>
      </c>
      <c r="W641" t="s">
        <v>2711</v>
      </c>
      <c r="X641" t="s">
        <v>2712</v>
      </c>
      <c r="Y641" t="s">
        <v>1462</v>
      </c>
      <c r="Z641" t="s">
        <v>110</v>
      </c>
      <c r="AA641" t="str">
        <f>"12304-1009"</f>
        <v>12304-1009</v>
      </c>
      <c r="AB641" t="s">
        <v>172</v>
      </c>
      <c r="AC641" t="s">
        <v>112</v>
      </c>
      <c r="AD641" t="s">
        <v>107</v>
      </c>
      <c r="AE641" t="s">
        <v>113</v>
      </c>
      <c r="AG641" t="s">
        <v>114</v>
      </c>
    </row>
    <row r="642" spans="1:33" x14ac:dyDescent="0.25">
      <c r="A642" t="str">
        <f>"1609855725"</f>
        <v>1609855725</v>
      </c>
      <c r="B642" t="str">
        <f>"01582594"</f>
        <v>01582594</v>
      </c>
      <c r="C642" t="s">
        <v>2713</v>
      </c>
      <c r="D642" t="s">
        <v>2714</v>
      </c>
      <c r="E642" t="s">
        <v>2715</v>
      </c>
      <c r="G642" t="s">
        <v>412</v>
      </c>
      <c r="H642" t="s">
        <v>413</v>
      </c>
      <c r="J642" t="s">
        <v>414</v>
      </c>
      <c r="L642" t="s">
        <v>166</v>
      </c>
      <c r="M642" t="s">
        <v>167</v>
      </c>
      <c r="R642" t="s">
        <v>2713</v>
      </c>
      <c r="W642" t="s">
        <v>2715</v>
      </c>
      <c r="X642" t="s">
        <v>2716</v>
      </c>
      <c r="Y642" t="s">
        <v>240</v>
      </c>
      <c r="Z642" t="s">
        <v>110</v>
      </c>
      <c r="AA642" t="str">
        <f>"11210-3946"</f>
        <v>11210-3946</v>
      </c>
      <c r="AB642" t="s">
        <v>172</v>
      </c>
      <c r="AC642" t="s">
        <v>112</v>
      </c>
      <c r="AD642" t="s">
        <v>107</v>
      </c>
      <c r="AE642" t="s">
        <v>113</v>
      </c>
      <c r="AG642" t="s">
        <v>114</v>
      </c>
    </row>
    <row r="643" spans="1:33" x14ac:dyDescent="0.25">
      <c r="A643" t="str">
        <f>"1053588574"</f>
        <v>1053588574</v>
      </c>
      <c r="B643" t="str">
        <f>"02025230"</f>
        <v>02025230</v>
      </c>
      <c r="C643" t="s">
        <v>2717</v>
      </c>
      <c r="D643" t="s">
        <v>2718</v>
      </c>
      <c r="E643" t="s">
        <v>2719</v>
      </c>
      <c r="G643" t="s">
        <v>273</v>
      </c>
      <c r="H643" t="s">
        <v>274</v>
      </c>
      <c r="J643" t="s">
        <v>275</v>
      </c>
      <c r="L643" t="s">
        <v>117</v>
      </c>
      <c r="M643" t="s">
        <v>107</v>
      </c>
      <c r="R643" t="s">
        <v>2717</v>
      </c>
      <c r="W643" t="s">
        <v>2719</v>
      </c>
      <c r="X643" t="s">
        <v>2719</v>
      </c>
      <c r="Y643" t="s">
        <v>325</v>
      </c>
      <c r="Z643" t="s">
        <v>110</v>
      </c>
      <c r="AA643" t="str">
        <f>"10010-5300"</f>
        <v>10010-5300</v>
      </c>
      <c r="AB643" t="s">
        <v>172</v>
      </c>
      <c r="AC643" t="s">
        <v>112</v>
      </c>
      <c r="AD643" t="s">
        <v>107</v>
      </c>
      <c r="AE643" t="s">
        <v>113</v>
      </c>
      <c r="AG643" t="s">
        <v>114</v>
      </c>
    </row>
    <row r="644" spans="1:33" x14ac:dyDescent="0.25">
      <c r="A644" t="str">
        <f>"1497824619"</f>
        <v>1497824619</v>
      </c>
      <c r="B644" t="str">
        <f>"02771704"</f>
        <v>02771704</v>
      </c>
      <c r="C644" t="s">
        <v>2720</v>
      </c>
      <c r="D644" t="s">
        <v>2721</v>
      </c>
      <c r="E644" t="s">
        <v>2722</v>
      </c>
      <c r="G644" t="s">
        <v>1054</v>
      </c>
      <c r="H644" t="s">
        <v>1055</v>
      </c>
      <c r="J644" t="s">
        <v>1056</v>
      </c>
      <c r="L644" t="s">
        <v>166</v>
      </c>
      <c r="M644" t="s">
        <v>107</v>
      </c>
      <c r="R644" t="s">
        <v>2720</v>
      </c>
      <c r="W644" t="s">
        <v>2722</v>
      </c>
      <c r="X644" t="s">
        <v>2723</v>
      </c>
      <c r="Y644" t="s">
        <v>183</v>
      </c>
      <c r="Z644" t="s">
        <v>110</v>
      </c>
      <c r="AA644" t="str">
        <f>"10461-1138"</f>
        <v>10461-1138</v>
      </c>
      <c r="AB644" t="s">
        <v>172</v>
      </c>
      <c r="AC644" t="s">
        <v>112</v>
      </c>
      <c r="AD644" t="s">
        <v>107</v>
      </c>
      <c r="AE644" t="s">
        <v>113</v>
      </c>
      <c r="AG644" t="s">
        <v>114</v>
      </c>
    </row>
    <row r="645" spans="1:33" x14ac:dyDescent="0.25">
      <c r="A645" t="str">
        <f>"1023145315"</f>
        <v>1023145315</v>
      </c>
      <c r="B645" t="str">
        <f>"03569582"</f>
        <v>03569582</v>
      </c>
      <c r="C645" t="s">
        <v>2724</v>
      </c>
      <c r="D645" t="s">
        <v>2725</v>
      </c>
      <c r="E645" t="s">
        <v>2726</v>
      </c>
      <c r="G645" t="s">
        <v>1054</v>
      </c>
      <c r="H645" t="s">
        <v>1055</v>
      </c>
      <c r="J645" t="s">
        <v>1056</v>
      </c>
      <c r="L645" t="s">
        <v>215</v>
      </c>
      <c r="M645" t="s">
        <v>167</v>
      </c>
      <c r="R645" t="s">
        <v>2724</v>
      </c>
      <c r="W645" t="s">
        <v>2726</v>
      </c>
      <c r="X645" t="s">
        <v>2727</v>
      </c>
      <c r="Y645" t="s">
        <v>240</v>
      </c>
      <c r="Z645" t="s">
        <v>110</v>
      </c>
      <c r="AA645" t="str">
        <f>"11212-3444"</f>
        <v>11212-3444</v>
      </c>
      <c r="AB645" t="s">
        <v>172</v>
      </c>
      <c r="AC645" t="s">
        <v>112</v>
      </c>
      <c r="AD645" t="s">
        <v>107</v>
      </c>
      <c r="AE645" t="s">
        <v>113</v>
      </c>
      <c r="AG645" t="s">
        <v>114</v>
      </c>
    </row>
    <row r="646" spans="1:33" x14ac:dyDescent="0.25">
      <c r="A646" t="str">
        <f>"1396931085"</f>
        <v>1396931085</v>
      </c>
      <c r="B646" t="str">
        <f>"03569880"</f>
        <v>03569880</v>
      </c>
      <c r="C646" t="s">
        <v>2728</v>
      </c>
      <c r="D646" t="s">
        <v>2729</v>
      </c>
      <c r="E646" t="s">
        <v>2730</v>
      </c>
      <c r="G646" t="s">
        <v>1054</v>
      </c>
      <c r="H646" t="s">
        <v>1055</v>
      </c>
      <c r="J646" t="s">
        <v>1056</v>
      </c>
      <c r="L646" t="s">
        <v>215</v>
      </c>
      <c r="M646" t="s">
        <v>167</v>
      </c>
      <c r="R646" t="s">
        <v>2728</v>
      </c>
      <c r="W646" t="s">
        <v>2730</v>
      </c>
      <c r="X646" t="s">
        <v>2731</v>
      </c>
      <c r="Y646" t="s">
        <v>225</v>
      </c>
      <c r="Z646" t="s">
        <v>110</v>
      </c>
      <c r="AA646" t="str">
        <f>"11354-4361"</f>
        <v>11354-4361</v>
      </c>
      <c r="AB646" t="s">
        <v>172</v>
      </c>
      <c r="AC646" t="s">
        <v>112</v>
      </c>
      <c r="AD646" t="s">
        <v>107</v>
      </c>
      <c r="AE646" t="s">
        <v>113</v>
      </c>
      <c r="AG646" t="s">
        <v>114</v>
      </c>
    </row>
    <row r="647" spans="1:33" x14ac:dyDescent="0.25">
      <c r="A647" t="str">
        <f>"1235225483"</f>
        <v>1235225483</v>
      </c>
      <c r="B647" t="str">
        <f>"01863785"</f>
        <v>01863785</v>
      </c>
      <c r="C647" t="s">
        <v>2732</v>
      </c>
      <c r="D647" t="s">
        <v>2733</v>
      </c>
      <c r="E647" t="s">
        <v>2734</v>
      </c>
      <c r="G647" t="s">
        <v>2735</v>
      </c>
      <c r="H647" t="s">
        <v>877</v>
      </c>
      <c r="J647" t="s">
        <v>2480</v>
      </c>
      <c r="L647" t="s">
        <v>117</v>
      </c>
      <c r="M647" t="s">
        <v>107</v>
      </c>
      <c r="R647" t="s">
        <v>2732</v>
      </c>
      <c r="W647" t="s">
        <v>2734</v>
      </c>
      <c r="X647" t="s">
        <v>2736</v>
      </c>
      <c r="Y647" t="s">
        <v>399</v>
      </c>
      <c r="Z647" t="s">
        <v>110</v>
      </c>
      <c r="AA647" t="str">
        <f>"11040-1433"</f>
        <v>11040-1433</v>
      </c>
      <c r="AB647" t="s">
        <v>172</v>
      </c>
      <c r="AC647" t="s">
        <v>112</v>
      </c>
      <c r="AD647" t="s">
        <v>107</v>
      </c>
      <c r="AE647" t="s">
        <v>113</v>
      </c>
      <c r="AG647" t="s">
        <v>114</v>
      </c>
    </row>
    <row r="648" spans="1:33" x14ac:dyDescent="0.25">
      <c r="A648" t="str">
        <f>"1194941120"</f>
        <v>1194941120</v>
      </c>
      <c r="B648" t="str">
        <f>"01426888"</f>
        <v>01426888</v>
      </c>
      <c r="C648" t="s">
        <v>2737</v>
      </c>
      <c r="D648" t="s">
        <v>2738</v>
      </c>
      <c r="E648" t="s">
        <v>2739</v>
      </c>
      <c r="G648" t="s">
        <v>2740</v>
      </c>
      <c r="H648" t="s">
        <v>2741</v>
      </c>
      <c r="J648" t="s">
        <v>2742</v>
      </c>
      <c r="L648" t="s">
        <v>720</v>
      </c>
      <c r="M648" t="s">
        <v>107</v>
      </c>
      <c r="R648" t="s">
        <v>2737</v>
      </c>
      <c r="W648" t="s">
        <v>2739</v>
      </c>
      <c r="X648" t="s">
        <v>2743</v>
      </c>
      <c r="Y648" t="s">
        <v>1253</v>
      </c>
      <c r="Z648" t="s">
        <v>110</v>
      </c>
      <c r="AA648" t="str">
        <f>"11101-4130"</f>
        <v>11101-4130</v>
      </c>
      <c r="AB648" t="s">
        <v>191</v>
      </c>
      <c r="AC648" t="s">
        <v>112</v>
      </c>
      <c r="AD648" t="s">
        <v>107</v>
      </c>
      <c r="AE648" t="s">
        <v>113</v>
      </c>
      <c r="AG648" t="s">
        <v>114</v>
      </c>
    </row>
    <row r="649" spans="1:33" x14ac:dyDescent="0.25">
      <c r="A649" t="str">
        <f>"1215155957"</f>
        <v>1215155957</v>
      </c>
      <c r="B649" t="str">
        <f>"01426966"</f>
        <v>01426966</v>
      </c>
      <c r="C649" t="s">
        <v>2744</v>
      </c>
      <c r="D649" t="s">
        <v>2745</v>
      </c>
      <c r="E649" t="s">
        <v>2746</v>
      </c>
      <c r="G649" t="s">
        <v>2740</v>
      </c>
      <c r="H649" t="s">
        <v>2741</v>
      </c>
      <c r="J649" t="s">
        <v>2742</v>
      </c>
      <c r="L649" t="s">
        <v>65</v>
      </c>
      <c r="M649" t="s">
        <v>107</v>
      </c>
      <c r="R649" t="s">
        <v>2744</v>
      </c>
      <c r="W649" t="s">
        <v>2746</v>
      </c>
      <c r="X649" t="s">
        <v>2743</v>
      </c>
      <c r="Y649" t="s">
        <v>1253</v>
      </c>
      <c r="Z649" t="s">
        <v>110</v>
      </c>
      <c r="AA649" t="str">
        <f>"11101-4130"</f>
        <v>11101-4130</v>
      </c>
      <c r="AB649" t="s">
        <v>546</v>
      </c>
      <c r="AC649" t="s">
        <v>112</v>
      </c>
      <c r="AD649" t="s">
        <v>107</v>
      </c>
      <c r="AE649" t="s">
        <v>113</v>
      </c>
      <c r="AG649" t="s">
        <v>114</v>
      </c>
    </row>
    <row r="650" spans="1:33" x14ac:dyDescent="0.25">
      <c r="A650" t="str">
        <f>"1922169010"</f>
        <v>1922169010</v>
      </c>
      <c r="B650" t="str">
        <f>"02512792"</f>
        <v>02512792</v>
      </c>
      <c r="C650" t="s">
        <v>389</v>
      </c>
      <c r="D650" t="s">
        <v>2747</v>
      </c>
      <c r="E650" t="s">
        <v>2748</v>
      </c>
      <c r="G650" t="s">
        <v>386</v>
      </c>
      <c r="H650" t="s">
        <v>387</v>
      </c>
      <c r="I650">
        <v>203</v>
      </c>
      <c r="J650" t="s">
        <v>388</v>
      </c>
      <c r="L650" t="s">
        <v>67</v>
      </c>
      <c r="M650" t="s">
        <v>167</v>
      </c>
      <c r="R650" t="s">
        <v>389</v>
      </c>
      <c r="W650" t="s">
        <v>2748</v>
      </c>
      <c r="X650" t="s">
        <v>2749</v>
      </c>
      <c r="Y650" t="s">
        <v>225</v>
      </c>
      <c r="Z650" t="s">
        <v>110</v>
      </c>
      <c r="AA650" t="str">
        <f>"11354-5938"</f>
        <v>11354-5938</v>
      </c>
      <c r="AB650" t="s">
        <v>408</v>
      </c>
      <c r="AC650" t="s">
        <v>112</v>
      </c>
      <c r="AD650" t="s">
        <v>107</v>
      </c>
      <c r="AE650" t="s">
        <v>113</v>
      </c>
      <c r="AG650" t="s">
        <v>114</v>
      </c>
    </row>
    <row r="651" spans="1:33" x14ac:dyDescent="0.25">
      <c r="A651" t="str">
        <f>"1083774640"</f>
        <v>1083774640</v>
      </c>
      <c r="B651" t="str">
        <f>"03487616"</f>
        <v>03487616</v>
      </c>
      <c r="C651" t="s">
        <v>2750</v>
      </c>
      <c r="D651" t="s">
        <v>2751</v>
      </c>
      <c r="E651" t="s">
        <v>2752</v>
      </c>
      <c r="G651" t="s">
        <v>195</v>
      </c>
      <c r="H651" t="s">
        <v>196</v>
      </c>
      <c r="J651" t="s">
        <v>197</v>
      </c>
      <c r="L651" t="s">
        <v>67</v>
      </c>
      <c r="M651" t="s">
        <v>107</v>
      </c>
      <c r="R651" t="s">
        <v>2750</v>
      </c>
      <c r="W651" t="s">
        <v>2753</v>
      </c>
      <c r="X651" t="s">
        <v>2754</v>
      </c>
      <c r="Y651" t="s">
        <v>982</v>
      </c>
      <c r="Z651" t="s">
        <v>110</v>
      </c>
      <c r="AA651" t="str">
        <f>"11423-1938"</f>
        <v>11423-1938</v>
      </c>
      <c r="AB651" t="s">
        <v>208</v>
      </c>
      <c r="AC651" t="s">
        <v>112</v>
      </c>
      <c r="AD651" t="s">
        <v>107</v>
      </c>
      <c r="AE651" t="s">
        <v>113</v>
      </c>
      <c r="AG651" t="s">
        <v>114</v>
      </c>
    </row>
    <row r="652" spans="1:33" x14ac:dyDescent="0.25">
      <c r="A652" t="str">
        <f>"1932347911"</f>
        <v>1932347911</v>
      </c>
      <c r="B652" t="str">
        <f>"03248033"</f>
        <v>03248033</v>
      </c>
      <c r="C652" t="s">
        <v>2755</v>
      </c>
      <c r="D652" t="s">
        <v>2756</v>
      </c>
      <c r="E652" t="s">
        <v>2757</v>
      </c>
      <c r="G652" t="s">
        <v>229</v>
      </c>
      <c r="H652" t="s">
        <v>230</v>
      </c>
      <c r="J652" t="s">
        <v>231</v>
      </c>
      <c r="L652" t="s">
        <v>1547</v>
      </c>
      <c r="M652" t="s">
        <v>107</v>
      </c>
      <c r="R652" t="s">
        <v>2755</v>
      </c>
      <c r="W652" t="s">
        <v>2757</v>
      </c>
      <c r="X652" t="s">
        <v>2758</v>
      </c>
      <c r="Y652" t="s">
        <v>2759</v>
      </c>
      <c r="Z652" t="s">
        <v>110</v>
      </c>
      <c r="AA652" t="str">
        <f>"11553-3683"</f>
        <v>11553-3683</v>
      </c>
      <c r="AB652" t="s">
        <v>184</v>
      </c>
      <c r="AC652" t="s">
        <v>112</v>
      </c>
      <c r="AD652" t="s">
        <v>107</v>
      </c>
      <c r="AE652" t="s">
        <v>113</v>
      </c>
      <c r="AG652" t="s">
        <v>114</v>
      </c>
    </row>
    <row r="653" spans="1:33" x14ac:dyDescent="0.25">
      <c r="A653" t="str">
        <f>"1063487601"</f>
        <v>1063487601</v>
      </c>
      <c r="B653" t="str">
        <f>"00927844"</f>
        <v>00927844</v>
      </c>
      <c r="C653" t="s">
        <v>2760</v>
      </c>
      <c r="D653" t="s">
        <v>2761</v>
      </c>
      <c r="E653" t="s">
        <v>2762</v>
      </c>
      <c r="G653" t="s">
        <v>195</v>
      </c>
      <c r="H653" t="s">
        <v>196</v>
      </c>
      <c r="J653" t="s">
        <v>197</v>
      </c>
      <c r="L653" t="s">
        <v>215</v>
      </c>
      <c r="M653" t="s">
        <v>167</v>
      </c>
      <c r="R653" t="s">
        <v>2760</v>
      </c>
      <c r="W653" t="s">
        <v>2762</v>
      </c>
      <c r="X653" t="s">
        <v>2763</v>
      </c>
      <c r="Y653" t="s">
        <v>225</v>
      </c>
      <c r="Z653" t="s">
        <v>110</v>
      </c>
      <c r="AA653" t="str">
        <f>"11355-3105"</f>
        <v>11355-3105</v>
      </c>
      <c r="AB653" t="s">
        <v>172</v>
      </c>
      <c r="AC653" t="s">
        <v>112</v>
      </c>
      <c r="AD653" t="s">
        <v>107</v>
      </c>
      <c r="AE653" t="s">
        <v>113</v>
      </c>
      <c r="AG653" t="s">
        <v>114</v>
      </c>
    </row>
    <row r="654" spans="1:33" x14ac:dyDescent="0.25">
      <c r="A654" t="str">
        <f>"1497998454"</f>
        <v>1497998454</v>
      </c>
      <c r="C654" t="s">
        <v>2764</v>
      </c>
      <c r="G654" t="s">
        <v>273</v>
      </c>
      <c r="H654" t="s">
        <v>274</v>
      </c>
      <c r="J654" t="s">
        <v>275</v>
      </c>
      <c r="K654" t="s">
        <v>276</v>
      </c>
      <c r="L654" t="s">
        <v>106</v>
      </c>
      <c r="M654" t="s">
        <v>107</v>
      </c>
      <c r="R654" t="s">
        <v>2764</v>
      </c>
      <c r="S654" t="s">
        <v>277</v>
      </c>
      <c r="T654" t="s">
        <v>200</v>
      </c>
      <c r="U654" t="s">
        <v>110</v>
      </c>
      <c r="V654" t="str">
        <f>"113726300"</f>
        <v>113726300</v>
      </c>
      <c r="AC654" t="s">
        <v>112</v>
      </c>
      <c r="AD654" t="s">
        <v>107</v>
      </c>
      <c r="AE654" t="s">
        <v>278</v>
      </c>
      <c r="AG654" t="s">
        <v>114</v>
      </c>
    </row>
    <row r="655" spans="1:33" x14ac:dyDescent="0.25">
      <c r="A655" t="str">
        <f>"1487728317"</f>
        <v>1487728317</v>
      </c>
      <c r="B655" t="str">
        <f>"01454484"</f>
        <v>01454484</v>
      </c>
      <c r="C655" t="s">
        <v>2765</v>
      </c>
      <c r="D655" t="s">
        <v>2766</v>
      </c>
      <c r="E655" t="s">
        <v>2767</v>
      </c>
      <c r="G655" t="s">
        <v>378</v>
      </c>
      <c r="H655" t="s">
        <v>379</v>
      </c>
      <c r="I655">
        <v>203</v>
      </c>
      <c r="J655" t="s">
        <v>380</v>
      </c>
      <c r="L655" t="s">
        <v>166</v>
      </c>
      <c r="M655" t="s">
        <v>167</v>
      </c>
      <c r="R655" t="s">
        <v>2765</v>
      </c>
      <c r="W655" t="s">
        <v>2767</v>
      </c>
      <c r="X655" t="s">
        <v>506</v>
      </c>
      <c r="Y655" t="s">
        <v>225</v>
      </c>
      <c r="Z655" t="s">
        <v>110</v>
      </c>
      <c r="AA655" t="str">
        <f>"11355-2205"</f>
        <v>11355-2205</v>
      </c>
      <c r="AB655" t="s">
        <v>172</v>
      </c>
      <c r="AC655" t="s">
        <v>112</v>
      </c>
      <c r="AD655" t="s">
        <v>107</v>
      </c>
      <c r="AE655" t="s">
        <v>113</v>
      </c>
      <c r="AG655" t="s">
        <v>114</v>
      </c>
    </row>
    <row r="656" spans="1:33" x14ac:dyDescent="0.25">
      <c r="A656" t="str">
        <f>"1962672402"</f>
        <v>1962672402</v>
      </c>
      <c r="B656" t="str">
        <f>"03159299"</f>
        <v>03159299</v>
      </c>
      <c r="C656" t="s">
        <v>2768</v>
      </c>
      <c r="D656" t="s">
        <v>2769</v>
      </c>
      <c r="E656" t="s">
        <v>2770</v>
      </c>
      <c r="G656" t="s">
        <v>2430</v>
      </c>
      <c r="H656" t="s">
        <v>2431</v>
      </c>
      <c r="J656" t="s">
        <v>2432</v>
      </c>
      <c r="L656" t="s">
        <v>315</v>
      </c>
      <c r="M656" t="s">
        <v>107</v>
      </c>
      <c r="R656" t="s">
        <v>2768</v>
      </c>
      <c r="W656" t="s">
        <v>2770</v>
      </c>
      <c r="X656" t="s">
        <v>2771</v>
      </c>
      <c r="Y656" t="s">
        <v>2772</v>
      </c>
      <c r="Z656" t="s">
        <v>110</v>
      </c>
      <c r="AA656" t="str">
        <f>"11435-3109"</f>
        <v>11435-3109</v>
      </c>
      <c r="AB656" t="s">
        <v>172</v>
      </c>
      <c r="AC656" t="s">
        <v>112</v>
      </c>
      <c r="AD656" t="s">
        <v>107</v>
      </c>
      <c r="AE656" t="s">
        <v>113</v>
      </c>
      <c r="AG656" t="s">
        <v>114</v>
      </c>
    </row>
    <row r="657" spans="1:33" x14ac:dyDescent="0.25">
      <c r="A657" t="str">
        <f>"1073955571"</f>
        <v>1073955571</v>
      </c>
      <c r="B657" t="str">
        <f>"03818917"</f>
        <v>03818917</v>
      </c>
      <c r="C657" t="s">
        <v>2773</v>
      </c>
      <c r="D657" t="s">
        <v>2774</v>
      </c>
      <c r="E657" t="s">
        <v>2775</v>
      </c>
      <c r="G657" t="s">
        <v>412</v>
      </c>
      <c r="H657" t="s">
        <v>413</v>
      </c>
      <c r="J657" t="s">
        <v>414</v>
      </c>
      <c r="L657" t="s">
        <v>106</v>
      </c>
      <c r="M657" t="s">
        <v>167</v>
      </c>
      <c r="R657" t="s">
        <v>2773</v>
      </c>
      <c r="W657" t="s">
        <v>2775</v>
      </c>
      <c r="X657" t="s">
        <v>2776</v>
      </c>
      <c r="Y657" t="s">
        <v>1462</v>
      </c>
      <c r="Z657" t="s">
        <v>110</v>
      </c>
      <c r="AA657" t="str">
        <f>"12303-1039"</f>
        <v>12303-1039</v>
      </c>
      <c r="AB657" t="s">
        <v>172</v>
      </c>
      <c r="AC657" t="s">
        <v>112</v>
      </c>
      <c r="AD657" t="s">
        <v>107</v>
      </c>
      <c r="AE657" t="s">
        <v>113</v>
      </c>
      <c r="AG657" t="s">
        <v>114</v>
      </c>
    </row>
    <row r="658" spans="1:33" x14ac:dyDescent="0.25">
      <c r="A658" t="str">
        <f>"1710060108"</f>
        <v>1710060108</v>
      </c>
      <c r="C658" t="s">
        <v>2777</v>
      </c>
      <c r="G658" t="s">
        <v>273</v>
      </c>
      <c r="H658" t="s">
        <v>274</v>
      </c>
      <c r="J658" t="s">
        <v>275</v>
      </c>
      <c r="K658" t="s">
        <v>276</v>
      </c>
      <c r="L658" t="s">
        <v>106</v>
      </c>
      <c r="M658" t="s">
        <v>107</v>
      </c>
      <c r="R658" t="s">
        <v>2777</v>
      </c>
      <c r="S658" t="s">
        <v>2778</v>
      </c>
      <c r="T658" t="s">
        <v>207</v>
      </c>
      <c r="U658" t="s">
        <v>110</v>
      </c>
      <c r="V658" t="str">
        <f>"113751263"</f>
        <v>113751263</v>
      </c>
      <c r="AC658" t="s">
        <v>112</v>
      </c>
      <c r="AD658" t="s">
        <v>107</v>
      </c>
      <c r="AE658" t="s">
        <v>278</v>
      </c>
      <c r="AG658" t="s">
        <v>114</v>
      </c>
    </row>
    <row r="659" spans="1:33" x14ac:dyDescent="0.25">
      <c r="A659" t="str">
        <f>"1497906416"</f>
        <v>1497906416</v>
      </c>
      <c r="B659" t="str">
        <f>"03403596"</f>
        <v>03403596</v>
      </c>
      <c r="C659" t="s">
        <v>2779</v>
      </c>
      <c r="D659" t="s">
        <v>2780</v>
      </c>
      <c r="E659" t="s">
        <v>2781</v>
      </c>
      <c r="G659" t="s">
        <v>273</v>
      </c>
      <c r="H659" t="s">
        <v>274</v>
      </c>
      <c r="J659" t="s">
        <v>275</v>
      </c>
      <c r="L659" t="s">
        <v>117</v>
      </c>
      <c r="M659" t="s">
        <v>107</v>
      </c>
      <c r="R659" t="s">
        <v>2779</v>
      </c>
      <c r="W659" t="s">
        <v>2782</v>
      </c>
      <c r="X659" t="s">
        <v>2783</v>
      </c>
      <c r="Y659" t="s">
        <v>325</v>
      </c>
      <c r="Z659" t="s">
        <v>110</v>
      </c>
      <c r="AA659" t="str">
        <f>"10003-4709"</f>
        <v>10003-4709</v>
      </c>
      <c r="AB659" t="s">
        <v>111</v>
      </c>
      <c r="AC659" t="s">
        <v>112</v>
      </c>
      <c r="AD659" t="s">
        <v>107</v>
      </c>
      <c r="AE659" t="s">
        <v>113</v>
      </c>
      <c r="AG659" t="s">
        <v>114</v>
      </c>
    </row>
    <row r="660" spans="1:33" x14ac:dyDescent="0.25">
      <c r="A660" t="str">
        <f>"1154406841"</f>
        <v>1154406841</v>
      </c>
      <c r="B660" t="str">
        <f>"00980841"</f>
        <v>00980841</v>
      </c>
      <c r="C660" t="s">
        <v>2784</v>
      </c>
      <c r="D660" t="s">
        <v>2785</v>
      </c>
      <c r="E660" t="s">
        <v>2786</v>
      </c>
      <c r="G660" t="s">
        <v>1027</v>
      </c>
      <c r="H660" t="s">
        <v>1028</v>
      </c>
      <c r="J660" t="s">
        <v>1029</v>
      </c>
      <c r="L660" t="s">
        <v>117</v>
      </c>
      <c r="M660" t="s">
        <v>107</v>
      </c>
      <c r="R660" t="s">
        <v>2784</v>
      </c>
      <c r="W660" t="s">
        <v>2786</v>
      </c>
      <c r="X660" t="s">
        <v>2787</v>
      </c>
      <c r="Y660" t="s">
        <v>2788</v>
      </c>
      <c r="Z660" t="s">
        <v>110</v>
      </c>
      <c r="AA660" t="str">
        <f>"11598-2709"</f>
        <v>11598-2709</v>
      </c>
      <c r="AB660" t="s">
        <v>172</v>
      </c>
      <c r="AC660" t="s">
        <v>112</v>
      </c>
      <c r="AD660" t="s">
        <v>107</v>
      </c>
      <c r="AE660" t="s">
        <v>113</v>
      </c>
      <c r="AG660" t="s">
        <v>114</v>
      </c>
    </row>
    <row r="661" spans="1:33" x14ac:dyDescent="0.25">
      <c r="A661" t="str">
        <f>"1801063342"</f>
        <v>1801063342</v>
      </c>
      <c r="C661" t="s">
        <v>2789</v>
      </c>
      <c r="G661" t="s">
        <v>273</v>
      </c>
      <c r="H661" t="s">
        <v>274</v>
      </c>
      <c r="J661" t="s">
        <v>275</v>
      </c>
      <c r="K661" t="s">
        <v>276</v>
      </c>
      <c r="L661" t="s">
        <v>373</v>
      </c>
      <c r="M661" t="s">
        <v>107</v>
      </c>
      <c r="R661" t="s">
        <v>2789</v>
      </c>
      <c r="S661" t="s">
        <v>277</v>
      </c>
      <c r="T661" t="s">
        <v>200</v>
      </c>
      <c r="U661" t="s">
        <v>110</v>
      </c>
      <c r="V661" t="str">
        <f>"113726300"</f>
        <v>113726300</v>
      </c>
      <c r="AC661" t="s">
        <v>112</v>
      </c>
      <c r="AD661" t="s">
        <v>107</v>
      </c>
      <c r="AE661" t="s">
        <v>278</v>
      </c>
      <c r="AG661" t="s">
        <v>114</v>
      </c>
    </row>
    <row r="662" spans="1:33" x14ac:dyDescent="0.25">
      <c r="A662" t="str">
        <f>"1437482361"</f>
        <v>1437482361</v>
      </c>
      <c r="B662" t="str">
        <f>"03243152"</f>
        <v>03243152</v>
      </c>
      <c r="C662" t="s">
        <v>2790</v>
      </c>
      <c r="D662" t="s">
        <v>2791</v>
      </c>
      <c r="E662" t="s">
        <v>2792</v>
      </c>
      <c r="G662" t="s">
        <v>176</v>
      </c>
      <c r="H662" t="s">
        <v>177</v>
      </c>
      <c r="I662">
        <v>3264</v>
      </c>
      <c r="J662" t="s">
        <v>178</v>
      </c>
      <c r="L662" t="s">
        <v>117</v>
      </c>
      <c r="M662" t="s">
        <v>107</v>
      </c>
      <c r="R662" t="s">
        <v>2790</v>
      </c>
      <c r="W662" t="s">
        <v>2792</v>
      </c>
      <c r="X662" t="s">
        <v>2793</v>
      </c>
      <c r="Y662" t="s">
        <v>183</v>
      </c>
      <c r="Z662" t="s">
        <v>110</v>
      </c>
      <c r="AA662" t="str">
        <f>"10451-5909"</f>
        <v>10451-5909</v>
      </c>
      <c r="AB662" t="s">
        <v>111</v>
      </c>
      <c r="AC662" t="s">
        <v>112</v>
      </c>
      <c r="AD662" t="s">
        <v>107</v>
      </c>
      <c r="AE662" t="s">
        <v>113</v>
      </c>
      <c r="AG662" t="s">
        <v>114</v>
      </c>
    </row>
    <row r="663" spans="1:33" x14ac:dyDescent="0.25">
      <c r="A663" t="str">
        <f>"1578648770"</f>
        <v>1578648770</v>
      </c>
      <c r="B663" t="str">
        <f>"02583131"</f>
        <v>02583131</v>
      </c>
      <c r="C663" t="s">
        <v>2794</v>
      </c>
      <c r="D663" t="s">
        <v>2795</v>
      </c>
      <c r="E663" t="s">
        <v>2794</v>
      </c>
      <c r="G663" t="s">
        <v>212</v>
      </c>
      <c r="H663" t="s">
        <v>213</v>
      </c>
      <c r="J663" t="s">
        <v>214</v>
      </c>
      <c r="L663" t="s">
        <v>166</v>
      </c>
      <c r="M663" t="s">
        <v>167</v>
      </c>
      <c r="R663" t="s">
        <v>2794</v>
      </c>
      <c r="W663" t="s">
        <v>2796</v>
      </c>
      <c r="X663" t="s">
        <v>2797</v>
      </c>
      <c r="Y663" t="s">
        <v>325</v>
      </c>
      <c r="Z663" t="s">
        <v>110</v>
      </c>
      <c r="AA663" t="str">
        <f>"10002-2301"</f>
        <v>10002-2301</v>
      </c>
      <c r="AB663" t="s">
        <v>172</v>
      </c>
      <c r="AC663" t="s">
        <v>112</v>
      </c>
      <c r="AD663" t="s">
        <v>107</v>
      </c>
      <c r="AE663" t="s">
        <v>113</v>
      </c>
      <c r="AG663" t="s">
        <v>114</v>
      </c>
    </row>
    <row r="664" spans="1:33" x14ac:dyDescent="0.25">
      <c r="A664" t="str">
        <f>"1710987565"</f>
        <v>1710987565</v>
      </c>
      <c r="B664" t="str">
        <f>"02580945"</f>
        <v>02580945</v>
      </c>
      <c r="C664" t="s">
        <v>2798</v>
      </c>
      <c r="D664" t="s">
        <v>2799</v>
      </c>
      <c r="E664" t="s">
        <v>2800</v>
      </c>
      <c r="G664" t="s">
        <v>394</v>
      </c>
      <c r="H664" t="s">
        <v>395</v>
      </c>
      <c r="J664" t="s">
        <v>396</v>
      </c>
      <c r="L664" t="s">
        <v>106</v>
      </c>
      <c r="M664" t="s">
        <v>107</v>
      </c>
      <c r="R664" t="s">
        <v>2798</v>
      </c>
      <c r="W664" t="s">
        <v>2800</v>
      </c>
      <c r="X664" t="s">
        <v>2801</v>
      </c>
      <c r="Y664" t="s">
        <v>356</v>
      </c>
      <c r="Z664" t="s">
        <v>110</v>
      </c>
      <c r="AA664" t="str">
        <f>"10701-4004"</f>
        <v>10701-4004</v>
      </c>
      <c r="AB664" t="s">
        <v>172</v>
      </c>
      <c r="AC664" t="s">
        <v>112</v>
      </c>
      <c r="AD664" t="s">
        <v>107</v>
      </c>
      <c r="AE664" t="s">
        <v>113</v>
      </c>
      <c r="AG664" t="s">
        <v>114</v>
      </c>
    </row>
    <row r="665" spans="1:33" x14ac:dyDescent="0.25">
      <c r="A665" t="str">
        <f>"1003832627"</f>
        <v>1003832627</v>
      </c>
      <c r="B665" t="str">
        <f>"01014671"</f>
        <v>01014671</v>
      </c>
      <c r="C665" t="s">
        <v>2802</v>
      </c>
      <c r="D665" t="s">
        <v>2803</v>
      </c>
      <c r="E665" t="s">
        <v>2804</v>
      </c>
      <c r="G665" t="s">
        <v>244</v>
      </c>
      <c r="H665" t="s">
        <v>245</v>
      </c>
      <c r="I665">
        <v>3484</v>
      </c>
      <c r="J665" t="s">
        <v>246</v>
      </c>
      <c r="L665" t="s">
        <v>166</v>
      </c>
      <c r="M665" t="s">
        <v>107</v>
      </c>
      <c r="R665" t="s">
        <v>2802</v>
      </c>
      <c r="W665" t="s">
        <v>2804</v>
      </c>
      <c r="Y665" t="s">
        <v>325</v>
      </c>
      <c r="Z665" t="s">
        <v>110</v>
      </c>
      <c r="AA665" t="str">
        <f>"10034-1159"</f>
        <v>10034-1159</v>
      </c>
      <c r="AB665" t="s">
        <v>172</v>
      </c>
      <c r="AC665" t="s">
        <v>112</v>
      </c>
      <c r="AD665" t="s">
        <v>107</v>
      </c>
      <c r="AE665" t="s">
        <v>113</v>
      </c>
      <c r="AG665" t="s">
        <v>114</v>
      </c>
    </row>
    <row r="666" spans="1:33" x14ac:dyDescent="0.25">
      <c r="A666" t="str">
        <f>"1467433664"</f>
        <v>1467433664</v>
      </c>
      <c r="B666" t="str">
        <f>"02995751"</f>
        <v>02995751</v>
      </c>
      <c r="C666" t="s">
        <v>2805</v>
      </c>
      <c r="D666" t="s">
        <v>2806</v>
      </c>
      <c r="E666" t="s">
        <v>2807</v>
      </c>
      <c r="G666" t="s">
        <v>267</v>
      </c>
      <c r="H666" t="s">
        <v>268</v>
      </c>
      <c r="I666">
        <v>4223</v>
      </c>
      <c r="J666" t="s">
        <v>269</v>
      </c>
      <c r="L666" t="s">
        <v>405</v>
      </c>
      <c r="M666" t="s">
        <v>167</v>
      </c>
      <c r="R666" t="s">
        <v>2808</v>
      </c>
      <c r="W666" t="s">
        <v>2808</v>
      </c>
      <c r="X666" t="s">
        <v>2809</v>
      </c>
      <c r="Y666" t="s">
        <v>1325</v>
      </c>
      <c r="Z666" t="s">
        <v>110</v>
      </c>
      <c r="AA666" t="str">
        <f>"11379-1528"</f>
        <v>11379-1528</v>
      </c>
      <c r="AB666" t="s">
        <v>408</v>
      </c>
      <c r="AC666" t="s">
        <v>112</v>
      </c>
      <c r="AD666" t="s">
        <v>107</v>
      </c>
      <c r="AE666" t="s">
        <v>113</v>
      </c>
      <c r="AG666" t="s">
        <v>114</v>
      </c>
    </row>
    <row r="667" spans="1:33" x14ac:dyDescent="0.25">
      <c r="B667" t="str">
        <f>"00309480"</f>
        <v>00309480</v>
      </c>
      <c r="C667" t="s">
        <v>2810</v>
      </c>
      <c r="D667" t="s">
        <v>2806</v>
      </c>
      <c r="E667" t="s">
        <v>2807</v>
      </c>
      <c r="G667" t="s">
        <v>267</v>
      </c>
      <c r="H667" t="s">
        <v>268</v>
      </c>
      <c r="I667">
        <v>4223</v>
      </c>
      <c r="J667" t="s">
        <v>269</v>
      </c>
      <c r="L667" t="s">
        <v>405</v>
      </c>
      <c r="M667" t="s">
        <v>167</v>
      </c>
      <c r="W667" t="s">
        <v>2810</v>
      </c>
      <c r="X667" t="s">
        <v>2811</v>
      </c>
      <c r="Y667" t="s">
        <v>1325</v>
      </c>
      <c r="Z667" t="s">
        <v>110</v>
      </c>
      <c r="AA667" t="str">
        <f>"11379-1528"</f>
        <v>11379-1528</v>
      </c>
      <c r="AB667" t="s">
        <v>408</v>
      </c>
      <c r="AC667" t="s">
        <v>112</v>
      </c>
      <c r="AD667" t="s">
        <v>107</v>
      </c>
      <c r="AE667" t="s">
        <v>113</v>
      </c>
      <c r="AG667" t="s">
        <v>114</v>
      </c>
    </row>
    <row r="668" spans="1:33" x14ac:dyDescent="0.25">
      <c r="A668" t="str">
        <f>"1477722072"</f>
        <v>1477722072</v>
      </c>
      <c r="B668" t="str">
        <f>"03106714"</f>
        <v>03106714</v>
      </c>
      <c r="C668" t="s">
        <v>2812</v>
      </c>
      <c r="D668" t="s">
        <v>2813</v>
      </c>
      <c r="E668" t="s">
        <v>2812</v>
      </c>
      <c r="G668" t="s">
        <v>273</v>
      </c>
      <c r="H668" t="s">
        <v>274</v>
      </c>
      <c r="J668" t="s">
        <v>275</v>
      </c>
      <c r="L668" t="s">
        <v>117</v>
      </c>
      <c r="M668" t="s">
        <v>107</v>
      </c>
      <c r="R668" t="s">
        <v>2812</v>
      </c>
      <c r="W668" t="s">
        <v>2812</v>
      </c>
      <c r="X668" t="s">
        <v>2814</v>
      </c>
      <c r="Y668" t="s">
        <v>200</v>
      </c>
      <c r="Z668" t="s">
        <v>110</v>
      </c>
      <c r="AA668" t="str">
        <f>"11372-6300"</f>
        <v>11372-6300</v>
      </c>
      <c r="AB668" t="s">
        <v>111</v>
      </c>
      <c r="AC668" t="s">
        <v>112</v>
      </c>
      <c r="AD668" t="s">
        <v>107</v>
      </c>
      <c r="AE668" t="s">
        <v>113</v>
      </c>
      <c r="AG668" t="s">
        <v>114</v>
      </c>
    </row>
    <row r="669" spans="1:33" x14ac:dyDescent="0.25">
      <c r="A669" t="str">
        <f>"1073684726"</f>
        <v>1073684726</v>
      </c>
      <c r="B669" t="str">
        <f>"02315108"</f>
        <v>02315108</v>
      </c>
      <c r="C669" t="s">
        <v>2815</v>
      </c>
      <c r="D669" t="s">
        <v>2816</v>
      </c>
      <c r="E669" t="s">
        <v>2817</v>
      </c>
      <c r="G669" t="s">
        <v>412</v>
      </c>
      <c r="H669" t="s">
        <v>413</v>
      </c>
      <c r="J669" t="s">
        <v>414</v>
      </c>
      <c r="L669" t="s">
        <v>315</v>
      </c>
      <c r="M669" t="s">
        <v>167</v>
      </c>
      <c r="R669" t="s">
        <v>2815</v>
      </c>
      <c r="W669" t="s">
        <v>2817</v>
      </c>
      <c r="X669" t="s">
        <v>2818</v>
      </c>
      <c r="Y669" t="s">
        <v>109</v>
      </c>
      <c r="Z669" t="s">
        <v>110</v>
      </c>
      <c r="AA669" t="str">
        <f>"11374-2546"</f>
        <v>11374-2546</v>
      </c>
      <c r="AB669" t="s">
        <v>172</v>
      </c>
      <c r="AC669" t="s">
        <v>112</v>
      </c>
      <c r="AD669" t="s">
        <v>107</v>
      </c>
      <c r="AE669" t="s">
        <v>113</v>
      </c>
      <c r="AG669" t="s">
        <v>114</v>
      </c>
    </row>
    <row r="670" spans="1:33" x14ac:dyDescent="0.25">
      <c r="A670" t="str">
        <f>"1538481403"</f>
        <v>1538481403</v>
      </c>
      <c r="B670" t="str">
        <f>"03354478"</f>
        <v>03354478</v>
      </c>
      <c r="C670" t="s">
        <v>2819</v>
      </c>
      <c r="D670" t="s">
        <v>2820</v>
      </c>
      <c r="E670" t="s">
        <v>2819</v>
      </c>
      <c r="G670" t="s">
        <v>273</v>
      </c>
      <c r="H670" t="s">
        <v>274</v>
      </c>
      <c r="J670" t="s">
        <v>275</v>
      </c>
      <c r="L670" t="s">
        <v>117</v>
      </c>
      <c r="M670" t="s">
        <v>107</v>
      </c>
      <c r="R670" t="s">
        <v>2819</v>
      </c>
      <c r="W670" t="s">
        <v>2819</v>
      </c>
      <c r="X670" t="s">
        <v>2821</v>
      </c>
      <c r="Y670" t="s">
        <v>225</v>
      </c>
      <c r="Z670" t="s">
        <v>110</v>
      </c>
      <c r="AA670" t="str">
        <f>"11355"</f>
        <v>11355</v>
      </c>
      <c r="AB670" t="s">
        <v>111</v>
      </c>
      <c r="AC670" t="s">
        <v>112</v>
      </c>
      <c r="AD670" t="s">
        <v>107</v>
      </c>
      <c r="AE670" t="s">
        <v>113</v>
      </c>
      <c r="AG670" t="s">
        <v>114</v>
      </c>
    </row>
    <row r="671" spans="1:33" x14ac:dyDescent="0.25">
      <c r="A671" t="str">
        <f>"1033353685"</f>
        <v>1033353685</v>
      </c>
      <c r="B671" t="str">
        <f>"03166272"</f>
        <v>03166272</v>
      </c>
      <c r="C671" t="s">
        <v>2822</v>
      </c>
      <c r="D671" t="s">
        <v>2823</v>
      </c>
      <c r="E671" t="s">
        <v>2824</v>
      </c>
      <c r="G671" t="s">
        <v>212</v>
      </c>
      <c r="H671" t="s">
        <v>213</v>
      </c>
      <c r="J671" t="s">
        <v>214</v>
      </c>
      <c r="L671" t="s">
        <v>166</v>
      </c>
      <c r="M671" t="s">
        <v>167</v>
      </c>
      <c r="R671" t="s">
        <v>2822</v>
      </c>
      <c r="W671" t="s">
        <v>2824</v>
      </c>
      <c r="X671" t="s">
        <v>2825</v>
      </c>
      <c r="Y671" t="s">
        <v>1253</v>
      </c>
      <c r="Z671" t="s">
        <v>110</v>
      </c>
      <c r="AA671" t="str">
        <f>"11106-4705"</f>
        <v>11106-4705</v>
      </c>
      <c r="AB671" t="s">
        <v>172</v>
      </c>
      <c r="AC671" t="s">
        <v>112</v>
      </c>
      <c r="AD671" t="s">
        <v>107</v>
      </c>
      <c r="AE671" t="s">
        <v>113</v>
      </c>
      <c r="AG671" t="s">
        <v>114</v>
      </c>
    </row>
    <row r="672" spans="1:33" x14ac:dyDescent="0.25">
      <c r="A672" t="str">
        <f>"1184793846"</f>
        <v>1184793846</v>
      </c>
      <c r="B672" t="str">
        <f>"01502381"</f>
        <v>01502381</v>
      </c>
      <c r="C672" t="s">
        <v>2826</v>
      </c>
      <c r="D672" t="s">
        <v>2827</v>
      </c>
      <c r="E672" t="s">
        <v>2828</v>
      </c>
      <c r="G672" t="s">
        <v>378</v>
      </c>
      <c r="H672" t="s">
        <v>379</v>
      </c>
      <c r="I672">
        <v>203</v>
      </c>
      <c r="J672" t="s">
        <v>380</v>
      </c>
      <c r="L672" t="s">
        <v>166</v>
      </c>
      <c r="M672" t="s">
        <v>167</v>
      </c>
      <c r="R672" t="s">
        <v>2826</v>
      </c>
      <c r="W672" t="s">
        <v>2828</v>
      </c>
      <c r="X672" t="s">
        <v>2829</v>
      </c>
      <c r="Y672" t="s">
        <v>1206</v>
      </c>
      <c r="Z672" t="s">
        <v>110</v>
      </c>
      <c r="AA672" t="str">
        <f>"11368-4018"</f>
        <v>11368-4018</v>
      </c>
      <c r="AB672" t="s">
        <v>172</v>
      </c>
      <c r="AC672" t="s">
        <v>112</v>
      </c>
      <c r="AD672" t="s">
        <v>107</v>
      </c>
      <c r="AE672" t="s">
        <v>113</v>
      </c>
      <c r="AG672" t="s">
        <v>114</v>
      </c>
    </row>
    <row r="673" spans="1:33" x14ac:dyDescent="0.25">
      <c r="A673" t="str">
        <f>"1407147754"</f>
        <v>1407147754</v>
      </c>
      <c r="B673" t="str">
        <f>"03529279"</f>
        <v>03529279</v>
      </c>
      <c r="C673" t="s">
        <v>2830</v>
      </c>
      <c r="D673" t="s">
        <v>2831</v>
      </c>
      <c r="E673" t="s">
        <v>2832</v>
      </c>
      <c r="G673" t="s">
        <v>212</v>
      </c>
      <c r="H673" t="s">
        <v>213</v>
      </c>
      <c r="J673" t="s">
        <v>214</v>
      </c>
      <c r="L673" t="s">
        <v>166</v>
      </c>
      <c r="M673" t="s">
        <v>167</v>
      </c>
      <c r="R673" t="s">
        <v>2830</v>
      </c>
      <c r="W673" t="s">
        <v>2832</v>
      </c>
      <c r="X673" t="s">
        <v>2833</v>
      </c>
      <c r="Y673" t="s">
        <v>1477</v>
      </c>
      <c r="Z673" t="s">
        <v>110</v>
      </c>
      <c r="AA673" t="str">
        <f>"11550-4364"</f>
        <v>11550-4364</v>
      </c>
      <c r="AB673" t="s">
        <v>172</v>
      </c>
      <c r="AC673" t="s">
        <v>112</v>
      </c>
      <c r="AD673" t="s">
        <v>107</v>
      </c>
      <c r="AE673" t="s">
        <v>113</v>
      </c>
      <c r="AG673" t="s">
        <v>114</v>
      </c>
    </row>
    <row r="674" spans="1:33" x14ac:dyDescent="0.25">
      <c r="A674" t="str">
        <f>"1659468742"</f>
        <v>1659468742</v>
      </c>
      <c r="B674" t="str">
        <f>"01567073"</f>
        <v>01567073</v>
      </c>
      <c r="C674" t="s">
        <v>2834</v>
      </c>
      <c r="D674" t="s">
        <v>2835</v>
      </c>
      <c r="E674" t="s">
        <v>2836</v>
      </c>
      <c r="G674" t="s">
        <v>212</v>
      </c>
      <c r="H674" t="s">
        <v>213</v>
      </c>
      <c r="J674" t="s">
        <v>214</v>
      </c>
      <c r="L674" t="s">
        <v>166</v>
      </c>
      <c r="M674" t="s">
        <v>107</v>
      </c>
      <c r="R674" t="s">
        <v>2834</v>
      </c>
      <c r="W674" t="s">
        <v>2836</v>
      </c>
      <c r="X674" t="s">
        <v>2837</v>
      </c>
      <c r="Y674" t="s">
        <v>325</v>
      </c>
      <c r="Z674" t="s">
        <v>110</v>
      </c>
      <c r="AA674" t="str">
        <f>"10021-4872"</f>
        <v>10021-4872</v>
      </c>
      <c r="AB674" t="s">
        <v>172</v>
      </c>
      <c r="AC674" t="s">
        <v>112</v>
      </c>
      <c r="AD674" t="s">
        <v>107</v>
      </c>
      <c r="AE674" t="s">
        <v>113</v>
      </c>
      <c r="AG674" t="s">
        <v>114</v>
      </c>
    </row>
    <row r="675" spans="1:33" x14ac:dyDescent="0.25">
      <c r="A675" t="str">
        <f>"1538396148"</f>
        <v>1538396148</v>
      </c>
      <c r="B675" t="str">
        <f>"03651085"</f>
        <v>03651085</v>
      </c>
      <c r="C675" t="s">
        <v>2838</v>
      </c>
      <c r="D675" t="s">
        <v>2839</v>
      </c>
      <c r="E675" t="s">
        <v>2840</v>
      </c>
      <c r="G675" t="s">
        <v>212</v>
      </c>
      <c r="H675" t="s">
        <v>213</v>
      </c>
      <c r="J675" t="s">
        <v>214</v>
      </c>
      <c r="L675" t="s">
        <v>166</v>
      </c>
      <c r="M675" t="s">
        <v>107</v>
      </c>
      <c r="R675" t="s">
        <v>2838</v>
      </c>
      <c r="W675" t="s">
        <v>2840</v>
      </c>
      <c r="X675" t="s">
        <v>2841</v>
      </c>
      <c r="Y675" t="s">
        <v>325</v>
      </c>
      <c r="Z675" t="s">
        <v>110</v>
      </c>
      <c r="AA675" t="str">
        <f>"10065-4870"</f>
        <v>10065-4870</v>
      </c>
      <c r="AB675" t="s">
        <v>172</v>
      </c>
      <c r="AC675" t="s">
        <v>112</v>
      </c>
      <c r="AD675" t="s">
        <v>107</v>
      </c>
      <c r="AE675" t="s">
        <v>113</v>
      </c>
      <c r="AG675" t="s">
        <v>114</v>
      </c>
    </row>
    <row r="676" spans="1:33" x14ac:dyDescent="0.25">
      <c r="A676" t="str">
        <f>"1558586099"</f>
        <v>1558586099</v>
      </c>
      <c r="B676" t="str">
        <f>"03153871"</f>
        <v>03153871</v>
      </c>
      <c r="C676" t="s">
        <v>2842</v>
      </c>
      <c r="D676" t="s">
        <v>2843</v>
      </c>
      <c r="E676" t="s">
        <v>2842</v>
      </c>
      <c r="G676" t="s">
        <v>378</v>
      </c>
      <c r="H676" t="s">
        <v>379</v>
      </c>
      <c r="I676">
        <v>203</v>
      </c>
      <c r="J676" t="s">
        <v>380</v>
      </c>
      <c r="L676" t="s">
        <v>166</v>
      </c>
      <c r="M676" t="s">
        <v>167</v>
      </c>
      <c r="R676" t="s">
        <v>2842</v>
      </c>
      <c r="W676" t="s">
        <v>2842</v>
      </c>
      <c r="X676" t="s">
        <v>2844</v>
      </c>
      <c r="Y676" t="s">
        <v>1210</v>
      </c>
      <c r="Z676" t="s">
        <v>110</v>
      </c>
      <c r="AA676" t="str">
        <f>"11021-4309"</f>
        <v>11021-4309</v>
      </c>
      <c r="AB676" t="s">
        <v>172</v>
      </c>
      <c r="AC676" t="s">
        <v>112</v>
      </c>
      <c r="AD676" t="s">
        <v>107</v>
      </c>
      <c r="AE676" t="s">
        <v>113</v>
      </c>
      <c r="AG676" t="s">
        <v>114</v>
      </c>
    </row>
    <row r="677" spans="1:33" x14ac:dyDescent="0.25">
      <c r="A677" t="str">
        <f>"1982987327"</f>
        <v>1982987327</v>
      </c>
      <c r="B677" t="str">
        <f>"03379004"</f>
        <v>03379004</v>
      </c>
      <c r="C677" t="s">
        <v>2845</v>
      </c>
      <c r="D677" t="s">
        <v>2846</v>
      </c>
      <c r="E677" t="s">
        <v>2847</v>
      </c>
      <c r="G677" t="s">
        <v>212</v>
      </c>
      <c r="H677" t="s">
        <v>213</v>
      </c>
      <c r="J677" t="s">
        <v>214</v>
      </c>
      <c r="L677" t="s">
        <v>215</v>
      </c>
      <c r="M677" t="s">
        <v>167</v>
      </c>
      <c r="R677" t="s">
        <v>2845</v>
      </c>
      <c r="W677" t="s">
        <v>2847</v>
      </c>
      <c r="X677" t="s">
        <v>2848</v>
      </c>
      <c r="Y677" t="s">
        <v>1582</v>
      </c>
      <c r="Z677" t="s">
        <v>110</v>
      </c>
      <c r="AA677" t="str">
        <f>"11801-5851"</f>
        <v>11801-5851</v>
      </c>
      <c r="AB677" t="s">
        <v>326</v>
      </c>
      <c r="AC677" t="s">
        <v>112</v>
      </c>
      <c r="AD677" t="s">
        <v>107</v>
      </c>
      <c r="AE677" t="s">
        <v>113</v>
      </c>
      <c r="AG677" t="s">
        <v>114</v>
      </c>
    </row>
    <row r="678" spans="1:33" x14ac:dyDescent="0.25">
      <c r="A678" t="str">
        <f>"1467450759"</f>
        <v>1467450759</v>
      </c>
      <c r="B678" t="str">
        <f>"02514932"</f>
        <v>02514932</v>
      </c>
      <c r="C678" t="s">
        <v>2849</v>
      </c>
      <c r="D678" t="s">
        <v>2850</v>
      </c>
      <c r="E678" t="s">
        <v>2851</v>
      </c>
      <c r="G678" t="s">
        <v>360</v>
      </c>
      <c r="H678" t="s">
        <v>361</v>
      </c>
      <c r="I678">
        <v>122</v>
      </c>
      <c r="J678" t="s">
        <v>362</v>
      </c>
      <c r="L678" t="s">
        <v>315</v>
      </c>
      <c r="M678" t="s">
        <v>107</v>
      </c>
      <c r="R678" t="s">
        <v>2849</v>
      </c>
      <c r="W678" t="s">
        <v>2851</v>
      </c>
      <c r="X678" t="s">
        <v>2852</v>
      </c>
      <c r="Y678" t="s">
        <v>2853</v>
      </c>
      <c r="Z678" t="s">
        <v>110</v>
      </c>
      <c r="AA678" t="str">
        <f>"10512-3997"</f>
        <v>10512-3997</v>
      </c>
      <c r="AB678" t="s">
        <v>172</v>
      </c>
      <c r="AC678" t="s">
        <v>112</v>
      </c>
      <c r="AD678" t="s">
        <v>107</v>
      </c>
      <c r="AE678" t="s">
        <v>113</v>
      </c>
      <c r="AG678" t="s">
        <v>114</v>
      </c>
    </row>
    <row r="679" spans="1:33" x14ac:dyDescent="0.25">
      <c r="A679" t="str">
        <f>"1770678021"</f>
        <v>1770678021</v>
      </c>
      <c r="B679" t="str">
        <f>"02520721"</f>
        <v>02520721</v>
      </c>
      <c r="C679" t="s">
        <v>2854</v>
      </c>
      <c r="D679" t="s">
        <v>2855</v>
      </c>
      <c r="E679" t="s">
        <v>2856</v>
      </c>
      <c r="G679" t="s">
        <v>736</v>
      </c>
      <c r="H679" t="s">
        <v>737</v>
      </c>
      <c r="I679">
        <v>1108</v>
      </c>
      <c r="J679" t="s">
        <v>738</v>
      </c>
      <c r="L679" t="s">
        <v>166</v>
      </c>
      <c r="M679" t="s">
        <v>107</v>
      </c>
      <c r="R679" t="s">
        <v>2854</v>
      </c>
      <c r="W679" t="s">
        <v>2856</v>
      </c>
      <c r="X679" t="s">
        <v>1827</v>
      </c>
      <c r="Y679" t="s">
        <v>225</v>
      </c>
      <c r="Z679" t="s">
        <v>110</v>
      </c>
      <c r="AA679" t="str">
        <f>"11355-2629"</f>
        <v>11355-2629</v>
      </c>
      <c r="AB679" t="s">
        <v>172</v>
      </c>
      <c r="AC679" t="s">
        <v>112</v>
      </c>
      <c r="AD679" t="s">
        <v>107</v>
      </c>
      <c r="AE679" t="s">
        <v>113</v>
      </c>
      <c r="AG679" t="s">
        <v>114</v>
      </c>
    </row>
    <row r="680" spans="1:33" x14ac:dyDescent="0.25">
      <c r="A680" t="str">
        <f>"1689640914"</f>
        <v>1689640914</v>
      </c>
      <c r="B680" t="str">
        <f>"01635423"</f>
        <v>01635423</v>
      </c>
      <c r="C680" t="s">
        <v>2857</v>
      </c>
      <c r="D680" t="s">
        <v>2858</v>
      </c>
      <c r="E680" t="s">
        <v>2859</v>
      </c>
      <c r="G680" t="s">
        <v>465</v>
      </c>
      <c r="H680" t="s">
        <v>466</v>
      </c>
      <c r="J680" t="s">
        <v>467</v>
      </c>
      <c r="L680" t="s">
        <v>166</v>
      </c>
      <c r="M680" t="s">
        <v>107</v>
      </c>
      <c r="R680" t="s">
        <v>2857</v>
      </c>
      <c r="W680" t="s">
        <v>2859</v>
      </c>
      <c r="X680" t="s">
        <v>2860</v>
      </c>
      <c r="Y680" t="s">
        <v>325</v>
      </c>
      <c r="Z680" t="s">
        <v>110</v>
      </c>
      <c r="AA680" t="str">
        <f>"10021-3104"</f>
        <v>10021-3104</v>
      </c>
      <c r="AB680" t="s">
        <v>172</v>
      </c>
      <c r="AC680" t="s">
        <v>112</v>
      </c>
      <c r="AD680" t="s">
        <v>107</v>
      </c>
      <c r="AE680" t="s">
        <v>113</v>
      </c>
      <c r="AG680" t="s">
        <v>114</v>
      </c>
    </row>
    <row r="681" spans="1:33" x14ac:dyDescent="0.25">
      <c r="A681" t="str">
        <f>"1588897672"</f>
        <v>1588897672</v>
      </c>
      <c r="B681" t="str">
        <f>"03950598"</f>
        <v>03950598</v>
      </c>
      <c r="C681" t="s">
        <v>2861</v>
      </c>
      <c r="D681" t="s">
        <v>2862</v>
      </c>
      <c r="E681" t="s">
        <v>2863</v>
      </c>
      <c r="G681" t="s">
        <v>176</v>
      </c>
      <c r="H681" t="s">
        <v>177</v>
      </c>
      <c r="I681">
        <v>3264</v>
      </c>
      <c r="J681" t="s">
        <v>178</v>
      </c>
      <c r="L681" t="s">
        <v>166</v>
      </c>
      <c r="M681" t="s">
        <v>107</v>
      </c>
      <c r="R681" t="s">
        <v>2861</v>
      </c>
      <c r="W681" t="s">
        <v>2864</v>
      </c>
      <c r="X681" t="s">
        <v>190</v>
      </c>
      <c r="Y681" t="s">
        <v>183</v>
      </c>
      <c r="Z681" t="s">
        <v>110</v>
      </c>
      <c r="AA681" t="str">
        <f>"10452-2001"</f>
        <v>10452-2001</v>
      </c>
      <c r="AB681" t="s">
        <v>172</v>
      </c>
      <c r="AC681" t="s">
        <v>112</v>
      </c>
      <c r="AD681" t="s">
        <v>107</v>
      </c>
      <c r="AE681" t="s">
        <v>113</v>
      </c>
      <c r="AG681" t="s">
        <v>114</v>
      </c>
    </row>
    <row r="682" spans="1:33" x14ac:dyDescent="0.25">
      <c r="A682" t="str">
        <f>"1881783330"</f>
        <v>1881783330</v>
      </c>
      <c r="B682" t="str">
        <f>"00231636"</f>
        <v>00231636</v>
      </c>
      <c r="C682" t="s">
        <v>2865</v>
      </c>
      <c r="D682" t="s">
        <v>2866</v>
      </c>
      <c r="E682" t="s">
        <v>2867</v>
      </c>
      <c r="G682" t="s">
        <v>402</v>
      </c>
      <c r="H682" t="s">
        <v>403</v>
      </c>
      <c r="J682" t="s">
        <v>404</v>
      </c>
      <c r="L682" t="s">
        <v>315</v>
      </c>
      <c r="M682" t="s">
        <v>107</v>
      </c>
      <c r="R682" t="s">
        <v>2865</v>
      </c>
      <c r="W682" t="s">
        <v>2867</v>
      </c>
      <c r="X682" t="s">
        <v>2868</v>
      </c>
      <c r="Y682" t="s">
        <v>225</v>
      </c>
      <c r="Z682" t="s">
        <v>110</v>
      </c>
      <c r="AA682" t="str">
        <f>"11355-2232"</f>
        <v>11355-2232</v>
      </c>
      <c r="AB682" t="s">
        <v>172</v>
      </c>
      <c r="AC682" t="s">
        <v>112</v>
      </c>
      <c r="AD682" t="s">
        <v>107</v>
      </c>
      <c r="AE682" t="s">
        <v>113</v>
      </c>
      <c r="AG682" t="s">
        <v>114</v>
      </c>
    </row>
    <row r="683" spans="1:33" x14ac:dyDescent="0.25">
      <c r="A683" t="str">
        <f>"1396870309"</f>
        <v>1396870309</v>
      </c>
      <c r="B683" t="str">
        <f>"03346009"</f>
        <v>03346009</v>
      </c>
      <c r="C683" t="s">
        <v>2869</v>
      </c>
      <c r="D683" t="s">
        <v>2870</v>
      </c>
      <c r="E683" t="s">
        <v>2869</v>
      </c>
      <c r="G683" t="s">
        <v>212</v>
      </c>
      <c r="H683" t="s">
        <v>213</v>
      </c>
      <c r="J683" t="s">
        <v>214</v>
      </c>
      <c r="L683" t="s">
        <v>166</v>
      </c>
      <c r="M683" t="s">
        <v>107</v>
      </c>
      <c r="R683" t="s">
        <v>2869</v>
      </c>
      <c r="W683" t="s">
        <v>2869</v>
      </c>
      <c r="X683" t="s">
        <v>2871</v>
      </c>
      <c r="Y683" t="s">
        <v>240</v>
      </c>
      <c r="Z683" t="s">
        <v>110</v>
      </c>
      <c r="AA683" t="str">
        <f>"11206-2501"</f>
        <v>11206-2501</v>
      </c>
      <c r="AB683" t="s">
        <v>172</v>
      </c>
      <c r="AC683" t="s">
        <v>112</v>
      </c>
      <c r="AD683" t="s">
        <v>107</v>
      </c>
      <c r="AE683" t="s">
        <v>113</v>
      </c>
      <c r="AG683" t="s">
        <v>114</v>
      </c>
    </row>
    <row r="684" spans="1:33" x14ac:dyDescent="0.25">
      <c r="A684" t="str">
        <f>"1124463880"</f>
        <v>1124463880</v>
      </c>
      <c r="C684" t="s">
        <v>2872</v>
      </c>
      <c r="G684" t="s">
        <v>273</v>
      </c>
      <c r="H684" t="s">
        <v>274</v>
      </c>
      <c r="J684" t="s">
        <v>275</v>
      </c>
      <c r="K684" t="s">
        <v>276</v>
      </c>
      <c r="L684" t="s">
        <v>373</v>
      </c>
      <c r="M684" t="s">
        <v>107</v>
      </c>
      <c r="R684" t="s">
        <v>2872</v>
      </c>
      <c r="S684" t="s">
        <v>2873</v>
      </c>
      <c r="T684" t="s">
        <v>235</v>
      </c>
      <c r="U684" t="s">
        <v>110</v>
      </c>
      <c r="V684" t="str">
        <f>"113613452"</f>
        <v>113613452</v>
      </c>
      <c r="AC684" t="s">
        <v>112</v>
      </c>
      <c r="AD684" t="s">
        <v>107</v>
      </c>
      <c r="AE684" t="s">
        <v>278</v>
      </c>
      <c r="AG684" t="s">
        <v>114</v>
      </c>
    </row>
    <row r="685" spans="1:33" x14ac:dyDescent="0.25">
      <c r="A685" t="str">
        <f>"1184794455"</f>
        <v>1184794455</v>
      </c>
      <c r="C685" t="s">
        <v>2874</v>
      </c>
      <c r="G685" t="s">
        <v>273</v>
      </c>
      <c r="H685" t="s">
        <v>274</v>
      </c>
      <c r="J685" t="s">
        <v>275</v>
      </c>
      <c r="K685" t="s">
        <v>276</v>
      </c>
      <c r="L685" t="s">
        <v>373</v>
      </c>
      <c r="M685" t="s">
        <v>107</v>
      </c>
      <c r="R685" t="s">
        <v>2874</v>
      </c>
      <c r="S685" t="s">
        <v>2875</v>
      </c>
      <c r="T685" t="s">
        <v>225</v>
      </c>
      <c r="U685" t="s">
        <v>110</v>
      </c>
      <c r="V685" t="str">
        <f>"113581027"</f>
        <v>113581027</v>
      </c>
      <c r="AC685" t="s">
        <v>112</v>
      </c>
      <c r="AD685" t="s">
        <v>107</v>
      </c>
      <c r="AE685" t="s">
        <v>278</v>
      </c>
      <c r="AG685" t="s">
        <v>114</v>
      </c>
    </row>
    <row r="686" spans="1:33" x14ac:dyDescent="0.25">
      <c r="A686" t="str">
        <f>"1194741819"</f>
        <v>1194741819</v>
      </c>
      <c r="B686" t="str">
        <f>"01369626"</f>
        <v>01369626</v>
      </c>
      <c r="C686" t="s">
        <v>2876</v>
      </c>
      <c r="D686" t="s">
        <v>2877</v>
      </c>
      <c r="E686" t="s">
        <v>2878</v>
      </c>
      <c r="G686" t="s">
        <v>212</v>
      </c>
      <c r="H686" t="s">
        <v>213</v>
      </c>
      <c r="J686" t="s">
        <v>214</v>
      </c>
      <c r="L686" t="s">
        <v>166</v>
      </c>
      <c r="M686" t="s">
        <v>107</v>
      </c>
      <c r="R686" t="s">
        <v>2876</v>
      </c>
      <c r="W686" t="s">
        <v>2878</v>
      </c>
      <c r="X686" t="s">
        <v>1186</v>
      </c>
      <c r="Y686" t="s">
        <v>422</v>
      </c>
      <c r="Z686" t="s">
        <v>110</v>
      </c>
      <c r="AA686" t="str">
        <f>"11432-3730"</f>
        <v>11432-3730</v>
      </c>
      <c r="AB686" t="s">
        <v>172</v>
      </c>
      <c r="AC686" t="s">
        <v>112</v>
      </c>
      <c r="AD686" t="s">
        <v>107</v>
      </c>
      <c r="AE686" t="s">
        <v>113</v>
      </c>
      <c r="AG686" t="s">
        <v>114</v>
      </c>
    </row>
    <row r="687" spans="1:33" x14ac:dyDescent="0.25">
      <c r="A687" t="str">
        <f>"1265570451"</f>
        <v>1265570451</v>
      </c>
      <c r="B687" t="str">
        <f>"03078026"</f>
        <v>03078026</v>
      </c>
      <c r="C687" t="s">
        <v>2879</v>
      </c>
      <c r="D687" t="s">
        <v>2880</v>
      </c>
      <c r="E687" t="s">
        <v>2879</v>
      </c>
      <c r="G687" t="s">
        <v>212</v>
      </c>
      <c r="H687" t="s">
        <v>213</v>
      </c>
      <c r="J687" t="s">
        <v>214</v>
      </c>
      <c r="L687" t="s">
        <v>215</v>
      </c>
      <c r="M687" t="s">
        <v>167</v>
      </c>
      <c r="R687" t="s">
        <v>2879</v>
      </c>
      <c r="W687" t="s">
        <v>2881</v>
      </c>
      <c r="X687" t="s">
        <v>1314</v>
      </c>
      <c r="Y687" t="s">
        <v>1315</v>
      </c>
      <c r="Z687" t="s">
        <v>110</v>
      </c>
      <c r="AA687" t="str">
        <f>"11418-2618"</f>
        <v>11418-2618</v>
      </c>
      <c r="AB687" t="s">
        <v>1044</v>
      </c>
      <c r="AC687" t="s">
        <v>112</v>
      </c>
      <c r="AD687" t="s">
        <v>107</v>
      </c>
      <c r="AE687" t="s">
        <v>113</v>
      </c>
      <c r="AG687" t="s">
        <v>114</v>
      </c>
    </row>
    <row r="688" spans="1:33" x14ac:dyDescent="0.25">
      <c r="A688" t="str">
        <f>"1801900428"</f>
        <v>1801900428</v>
      </c>
      <c r="B688" t="str">
        <f>"02534572"</f>
        <v>02534572</v>
      </c>
      <c r="C688" t="s">
        <v>2882</v>
      </c>
      <c r="D688" t="s">
        <v>2883</v>
      </c>
      <c r="E688" t="s">
        <v>2882</v>
      </c>
      <c r="G688" t="s">
        <v>176</v>
      </c>
      <c r="H688" t="s">
        <v>177</v>
      </c>
      <c r="I688">
        <v>3264</v>
      </c>
      <c r="J688" t="s">
        <v>178</v>
      </c>
      <c r="L688" t="s">
        <v>117</v>
      </c>
      <c r="M688" t="s">
        <v>107</v>
      </c>
      <c r="R688" t="s">
        <v>2884</v>
      </c>
      <c r="W688" t="s">
        <v>2882</v>
      </c>
      <c r="X688" t="s">
        <v>556</v>
      </c>
      <c r="Y688" t="s">
        <v>183</v>
      </c>
      <c r="Z688" t="s">
        <v>110</v>
      </c>
      <c r="AA688" t="str">
        <f>"10452-2001"</f>
        <v>10452-2001</v>
      </c>
      <c r="AB688" t="s">
        <v>172</v>
      </c>
      <c r="AC688" t="s">
        <v>112</v>
      </c>
      <c r="AD688" t="s">
        <v>107</v>
      </c>
      <c r="AE688" t="s">
        <v>113</v>
      </c>
      <c r="AG688" t="s">
        <v>114</v>
      </c>
    </row>
    <row r="689" spans="1:33" x14ac:dyDescent="0.25">
      <c r="A689" t="str">
        <f>"1225270879"</f>
        <v>1225270879</v>
      </c>
      <c r="B689" t="str">
        <f>"03484493"</f>
        <v>03484493</v>
      </c>
      <c r="C689" t="s">
        <v>2885</v>
      </c>
      <c r="D689" t="s">
        <v>2886</v>
      </c>
      <c r="E689" t="s">
        <v>2887</v>
      </c>
      <c r="G689" t="s">
        <v>195</v>
      </c>
      <c r="H689" t="s">
        <v>196</v>
      </c>
      <c r="J689" t="s">
        <v>197</v>
      </c>
      <c r="L689" t="s">
        <v>166</v>
      </c>
      <c r="M689" t="s">
        <v>107</v>
      </c>
      <c r="R689" t="s">
        <v>2885</v>
      </c>
      <c r="W689" t="s">
        <v>2887</v>
      </c>
      <c r="X689" t="s">
        <v>2888</v>
      </c>
      <c r="Y689" t="s">
        <v>422</v>
      </c>
      <c r="Z689" t="s">
        <v>110</v>
      </c>
      <c r="AA689" t="str">
        <f>"11432-3452"</f>
        <v>11432-3452</v>
      </c>
      <c r="AB689" t="s">
        <v>172</v>
      </c>
      <c r="AC689" t="s">
        <v>112</v>
      </c>
      <c r="AD689" t="s">
        <v>107</v>
      </c>
      <c r="AE689" t="s">
        <v>113</v>
      </c>
      <c r="AG689" t="s">
        <v>114</v>
      </c>
    </row>
    <row r="690" spans="1:33" x14ac:dyDescent="0.25">
      <c r="A690" t="str">
        <f>"1184965493"</f>
        <v>1184965493</v>
      </c>
      <c r="B690" t="str">
        <f>"03818297"</f>
        <v>03818297</v>
      </c>
      <c r="C690" t="s">
        <v>2889</v>
      </c>
      <c r="D690" t="s">
        <v>2890</v>
      </c>
      <c r="E690" t="s">
        <v>2891</v>
      </c>
      <c r="G690" t="s">
        <v>212</v>
      </c>
      <c r="H690" t="s">
        <v>213</v>
      </c>
      <c r="J690" t="s">
        <v>214</v>
      </c>
      <c r="L690" t="s">
        <v>215</v>
      </c>
      <c r="M690" t="s">
        <v>107</v>
      </c>
      <c r="R690" t="s">
        <v>2889</v>
      </c>
      <c r="W690" t="s">
        <v>2892</v>
      </c>
      <c r="X690" t="s">
        <v>863</v>
      </c>
      <c r="Y690" t="s">
        <v>325</v>
      </c>
      <c r="Z690" t="s">
        <v>110</v>
      </c>
      <c r="AA690" t="str">
        <f>"10026-3138"</f>
        <v>10026-3138</v>
      </c>
      <c r="AB690" t="s">
        <v>172</v>
      </c>
      <c r="AC690" t="s">
        <v>112</v>
      </c>
      <c r="AD690" t="s">
        <v>107</v>
      </c>
      <c r="AE690" t="s">
        <v>113</v>
      </c>
      <c r="AG690" t="s">
        <v>114</v>
      </c>
    </row>
    <row r="691" spans="1:33" x14ac:dyDescent="0.25">
      <c r="A691" t="str">
        <f>"1316076508"</f>
        <v>1316076508</v>
      </c>
      <c r="B691" t="str">
        <f>"02877970"</f>
        <v>02877970</v>
      </c>
      <c r="C691" t="s">
        <v>2893</v>
      </c>
      <c r="D691" t="s">
        <v>2894</v>
      </c>
      <c r="E691" t="s">
        <v>2895</v>
      </c>
      <c r="G691" t="s">
        <v>394</v>
      </c>
      <c r="H691" t="s">
        <v>395</v>
      </c>
      <c r="J691" t="s">
        <v>396</v>
      </c>
      <c r="L691" t="s">
        <v>106</v>
      </c>
      <c r="M691" t="s">
        <v>107</v>
      </c>
      <c r="R691" t="s">
        <v>2893</v>
      </c>
      <c r="W691" t="s">
        <v>2895</v>
      </c>
      <c r="X691" t="s">
        <v>732</v>
      </c>
      <c r="Y691" t="s">
        <v>356</v>
      </c>
      <c r="Z691" t="s">
        <v>110</v>
      </c>
      <c r="AA691" t="str">
        <f>"10701-4004"</f>
        <v>10701-4004</v>
      </c>
      <c r="AB691" t="s">
        <v>172</v>
      </c>
      <c r="AC691" t="s">
        <v>112</v>
      </c>
      <c r="AD691" t="s">
        <v>107</v>
      </c>
      <c r="AE691" t="s">
        <v>113</v>
      </c>
      <c r="AG691" t="s">
        <v>114</v>
      </c>
    </row>
    <row r="692" spans="1:33" x14ac:dyDescent="0.25">
      <c r="B692" t="str">
        <f>"03481927"</f>
        <v>03481927</v>
      </c>
      <c r="C692" t="s">
        <v>2896</v>
      </c>
      <c r="D692" t="s">
        <v>2897</v>
      </c>
      <c r="E692" t="s">
        <v>2896</v>
      </c>
      <c r="G692" t="s">
        <v>2898</v>
      </c>
      <c r="H692" t="s">
        <v>2899</v>
      </c>
      <c r="J692" t="s">
        <v>2900</v>
      </c>
      <c r="L692" t="s">
        <v>373</v>
      </c>
      <c r="M692" t="s">
        <v>107</v>
      </c>
      <c r="W692" t="s">
        <v>2896</v>
      </c>
      <c r="X692" t="s">
        <v>398</v>
      </c>
      <c r="Y692" t="s">
        <v>399</v>
      </c>
      <c r="Z692" t="s">
        <v>110</v>
      </c>
      <c r="AA692" t="str">
        <f>"11040-1436"</f>
        <v>11040-1436</v>
      </c>
      <c r="AB692" t="s">
        <v>1843</v>
      </c>
      <c r="AC692" t="s">
        <v>112</v>
      </c>
      <c r="AD692" t="s">
        <v>107</v>
      </c>
      <c r="AE692" t="s">
        <v>113</v>
      </c>
      <c r="AG692" t="s">
        <v>114</v>
      </c>
    </row>
    <row r="693" spans="1:33" x14ac:dyDescent="0.25">
      <c r="A693" t="str">
        <f>"1134217078"</f>
        <v>1134217078</v>
      </c>
      <c r="B693" t="str">
        <f>"01071681"</f>
        <v>01071681</v>
      </c>
      <c r="C693" t="s">
        <v>2901</v>
      </c>
      <c r="D693" t="s">
        <v>2902</v>
      </c>
      <c r="E693" t="s">
        <v>2903</v>
      </c>
      <c r="G693" t="s">
        <v>195</v>
      </c>
      <c r="H693" t="s">
        <v>196</v>
      </c>
      <c r="J693" t="s">
        <v>197</v>
      </c>
      <c r="L693" t="s">
        <v>215</v>
      </c>
      <c r="M693" t="s">
        <v>167</v>
      </c>
      <c r="R693" t="s">
        <v>2901</v>
      </c>
      <c r="W693" t="s">
        <v>2903</v>
      </c>
      <c r="X693" t="s">
        <v>2904</v>
      </c>
      <c r="Y693" t="s">
        <v>325</v>
      </c>
      <c r="Z693" t="s">
        <v>110</v>
      </c>
      <c r="AA693" t="str">
        <f>"10034-1159"</f>
        <v>10034-1159</v>
      </c>
      <c r="AB693" t="s">
        <v>172</v>
      </c>
      <c r="AC693" t="s">
        <v>112</v>
      </c>
      <c r="AD693" t="s">
        <v>107</v>
      </c>
      <c r="AE693" t="s">
        <v>113</v>
      </c>
      <c r="AG693" t="s">
        <v>114</v>
      </c>
    </row>
    <row r="694" spans="1:33" x14ac:dyDescent="0.25">
      <c r="A694" t="str">
        <f>"1043431349"</f>
        <v>1043431349</v>
      </c>
      <c r="B694" t="str">
        <f>"01353222"</f>
        <v>01353222</v>
      </c>
      <c r="C694" t="s">
        <v>2905</v>
      </c>
      <c r="D694" t="s">
        <v>2906</v>
      </c>
      <c r="E694" t="s">
        <v>2907</v>
      </c>
      <c r="G694" t="s">
        <v>1054</v>
      </c>
      <c r="H694" t="s">
        <v>1055</v>
      </c>
      <c r="J694" t="s">
        <v>1056</v>
      </c>
      <c r="L694" t="s">
        <v>67</v>
      </c>
      <c r="M694" t="s">
        <v>167</v>
      </c>
      <c r="R694" t="s">
        <v>2908</v>
      </c>
      <c r="W694" t="s">
        <v>2907</v>
      </c>
      <c r="X694" t="s">
        <v>2909</v>
      </c>
      <c r="Y694" t="s">
        <v>183</v>
      </c>
      <c r="Z694" t="s">
        <v>110</v>
      </c>
      <c r="AA694" t="str">
        <f>"10467-8108"</f>
        <v>10467-8108</v>
      </c>
      <c r="AB694" t="s">
        <v>191</v>
      </c>
      <c r="AC694" t="s">
        <v>112</v>
      </c>
      <c r="AD694" t="s">
        <v>107</v>
      </c>
      <c r="AE694" t="s">
        <v>113</v>
      </c>
      <c r="AG694" t="s">
        <v>114</v>
      </c>
    </row>
    <row r="695" spans="1:33" x14ac:dyDescent="0.25">
      <c r="B695" t="str">
        <f>"02710185"</f>
        <v>02710185</v>
      </c>
      <c r="C695" t="s">
        <v>2910</v>
      </c>
      <c r="D695" t="s">
        <v>2911</v>
      </c>
      <c r="E695" t="s">
        <v>2912</v>
      </c>
      <c r="G695" t="s">
        <v>1054</v>
      </c>
      <c r="H695" t="s">
        <v>1055</v>
      </c>
      <c r="J695" t="s">
        <v>1056</v>
      </c>
      <c r="L695" t="s">
        <v>373</v>
      </c>
      <c r="M695" t="s">
        <v>167</v>
      </c>
      <c r="W695" t="s">
        <v>2913</v>
      </c>
      <c r="X695" t="s">
        <v>2914</v>
      </c>
      <c r="Y695" t="s">
        <v>183</v>
      </c>
      <c r="Z695" t="s">
        <v>110</v>
      </c>
      <c r="AA695" t="str">
        <f>"10467-8108"</f>
        <v>10467-8108</v>
      </c>
      <c r="AB695" t="s">
        <v>1843</v>
      </c>
      <c r="AC695" t="s">
        <v>112</v>
      </c>
      <c r="AD695" t="s">
        <v>107</v>
      </c>
      <c r="AE695" t="s">
        <v>113</v>
      </c>
      <c r="AG695" t="s">
        <v>114</v>
      </c>
    </row>
    <row r="696" spans="1:33" x14ac:dyDescent="0.25">
      <c r="B696" t="str">
        <f>"01234037"</f>
        <v>01234037</v>
      </c>
      <c r="C696" t="s">
        <v>2910</v>
      </c>
      <c r="D696" t="s">
        <v>2915</v>
      </c>
      <c r="E696" t="s">
        <v>2916</v>
      </c>
      <c r="G696" t="s">
        <v>1054</v>
      </c>
      <c r="H696" t="s">
        <v>1055</v>
      </c>
      <c r="J696" t="s">
        <v>1056</v>
      </c>
      <c r="L696" t="s">
        <v>373</v>
      </c>
      <c r="M696" t="s">
        <v>107</v>
      </c>
      <c r="W696" t="s">
        <v>2917</v>
      </c>
      <c r="X696" t="s">
        <v>2918</v>
      </c>
      <c r="Y696" t="s">
        <v>183</v>
      </c>
      <c r="Z696" t="s">
        <v>110</v>
      </c>
      <c r="AA696" t="str">
        <f>"10467-8108"</f>
        <v>10467-8108</v>
      </c>
      <c r="AB696" t="s">
        <v>1843</v>
      </c>
      <c r="AC696" t="s">
        <v>112</v>
      </c>
      <c r="AD696" t="s">
        <v>107</v>
      </c>
      <c r="AE696" t="s">
        <v>113</v>
      </c>
      <c r="AG696" t="s">
        <v>114</v>
      </c>
    </row>
    <row r="697" spans="1:33" x14ac:dyDescent="0.25">
      <c r="C697" t="s">
        <v>2910</v>
      </c>
      <c r="G697" t="s">
        <v>1054</v>
      </c>
      <c r="H697" t="s">
        <v>1055</v>
      </c>
      <c r="J697" t="s">
        <v>1056</v>
      </c>
      <c r="K697" t="s">
        <v>2919</v>
      </c>
      <c r="L697" t="s">
        <v>711</v>
      </c>
      <c r="M697" t="s">
        <v>107</v>
      </c>
      <c r="N697" t="s">
        <v>2920</v>
      </c>
      <c r="O697" t="s">
        <v>1059</v>
      </c>
      <c r="P697" t="s">
        <v>110</v>
      </c>
      <c r="Q697" t="str">
        <f>"10461"</f>
        <v>10461</v>
      </c>
      <c r="AC697" t="s">
        <v>112</v>
      </c>
      <c r="AD697" t="s">
        <v>107</v>
      </c>
      <c r="AE697" t="s">
        <v>713</v>
      </c>
      <c r="AG697" t="s">
        <v>114</v>
      </c>
    </row>
    <row r="698" spans="1:33" x14ac:dyDescent="0.25">
      <c r="A698" t="str">
        <f>"1699818708"</f>
        <v>1699818708</v>
      </c>
      <c r="B698" t="str">
        <f>"01013607"</f>
        <v>01013607</v>
      </c>
      <c r="C698" t="s">
        <v>2921</v>
      </c>
      <c r="D698" t="s">
        <v>2922</v>
      </c>
      <c r="E698" t="s">
        <v>2923</v>
      </c>
      <c r="F698">
        <v>112047151</v>
      </c>
      <c r="G698" t="s">
        <v>827</v>
      </c>
      <c r="H698" t="s">
        <v>828</v>
      </c>
      <c r="J698" t="s">
        <v>829</v>
      </c>
      <c r="L698" t="s">
        <v>67</v>
      </c>
      <c r="M698" t="s">
        <v>107</v>
      </c>
      <c r="R698" t="s">
        <v>2921</v>
      </c>
      <c r="W698" t="s">
        <v>2923</v>
      </c>
      <c r="X698" t="s">
        <v>2924</v>
      </c>
      <c r="Y698" t="s">
        <v>1206</v>
      </c>
      <c r="Z698" t="s">
        <v>110</v>
      </c>
      <c r="AA698" t="str">
        <f>"11368-2837"</f>
        <v>11368-2837</v>
      </c>
      <c r="AB698" t="s">
        <v>408</v>
      </c>
      <c r="AC698" t="s">
        <v>112</v>
      </c>
      <c r="AD698" t="s">
        <v>107</v>
      </c>
      <c r="AE698" t="s">
        <v>113</v>
      </c>
      <c r="AG698" t="s">
        <v>114</v>
      </c>
    </row>
    <row r="699" spans="1:33" x14ac:dyDescent="0.25">
      <c r="A699" t="str">
        <f>"1629154455"</f>
        <v>1629154455</v>
      </c>
      <c r="C699" t="s">
        <v>2925</v>
      </c>
      <c r="G699" t="s">
        <v>827</v>
      </c>
      <c r="H699" t="s">
        <v>828</v>
      </c>
      <c r="J699" t="s">
        <v>829</v>
      </c>
      <c r="K699" t="s">
        <v>1616</v>
      </c>
      <c r="L699" t="s">
        <v>373</v>
      </c>
      <c r="M699" t="s">
        <v>107</v>
      </c>
      <c r="R699" t="s">
        <v>2925</v>
      </c>
      <c r="S699" t="s">
        <v>2926</v>
      </c>
      <c r="T699" t="s">
        <v>240</v>
      </c>
      <c r="U699" t="s">
        <v>110</v>
      </c>
      <c r="V699" t="str">
        <f>"112157095"</f>
        <v>112157095</v>
      </c>
      <c r="AC699" t="s">
        <v>112</v>
      </c>
      <c r="AD699" t="s">
        <v>107</v>
      </c>
      <c r="AE699" t="s">
        <v>278</v>
      </c>
      <c r="AG699" t="s">
        <v>114</v>
      </c>
    </row>
    <row r="700" spans="1:33" x14ac:dyDescent="0.25">
      <c r="A700" t="str">
        <f>"1508895251"</f>
        <v>1508895251</v>
      </c>
      <c r="B700" t="str">
        <f>"00203118"</f>
        <v>00203118</v>
      </c>
      <c r="C700" t="s">
        <v>2927</v>
      </c>
      <c r="D700" t="s">
        <v>2928</v>
      </c>
      <c r="E700" t="s">
        <v>2927</v>
      </c>
      <c r="G700" t="s">
        <v>2929</v>
      </c>
      <c r="H700" t="s">
        <v>2460</v>
      </c>
      <c r="J700" t="s">
        <v>2461</v>
      </c>
      <c r="L700" t="s">
        <v>166</v>
      </c>
      <c r="M700" t="s">
        <v>167</v>
      </c>
      <c r="R700" t="s">
        <v>2927</v>
      </c>
      <c r="W700" t="s">
        <v>2927</v>
      </c>
      <c r="X700" t="s">
        <v>2930</v>
      </c>
      <c r="Y700" t="s">
        <v>240</v>
      </c>
      <c r="Z700" t="s">
        <v>110</v>
      </c>
      <c r="AA700" t="str">
        <f>"11201-5493"</f>
        <v>11201-5493</v>
      </c>
      <c r="AB700" t="s">
        <v>172</v>
      </c>
      <c r="AC700" t="s">
        <v>112</v>
      </c>
      <c r="AD700" t="s">
        <v>107</v>
      </c>
      <c r="AE700" t="s">
        <v>113</v>
      </c>
      <c r="AG700" t="s">
        <v>114</v>
      </c>
    </row>
    <row r="701" spans="1:33" x14ac:dyDescent="0.25">
      <c r="A701" t="str">
        <f>"1740354539"</f>
        <v>1740354539</v>
      </c>
      <c r="B701" t="str">
        <f>"01613390"</f>
        <v>01613390</v>
      </c>
      <c r="C701" t="s">
        <v>2931</v>
      </c>
      <c r="D701" t="s">
        <v>2932</v>
      </c>
      <c r="E701" t="s">
        <v>2933</v>
      </c>
      <c r="G701" t="s">
        <v>2929</v>
      </c>
      <c r="H701" t="s">
        <v>2460</v>
      </c>
      <c r="J701" t="s">
        <v>2461</v>
      </c>
      <c r="L701" t="s">
        <v>106</v>
      </c>
      <c r="M701" t="s">
        <v>107</v>
      </c>
      <c r="R701" t="s">
        <v>2931</v>
      </c>
      <c r="W701" t="s">
        <v>2933</v>
      </c>
      <c r="X701" t="s">
        <v>2934</v>
      </c>
      <c r="Y701" t="s">
        <v>2935</v>
      </c>
      <c r="Z701" t="s">
        <v>110</v>
      </c>
      <c r="AA701" t="str">
        <f>"11714"</f>
        <v>11714</v>
      </c>
      <c r="AB701" t="s">
        <v>172</v>
      </c>
      <c r="AC701" t="s">
        <v>112</v>
      </c>
      <c r="AD701" t="s">
        <v>107</v>
      </c>
      <c r="AE701" t="s">
        <v>113</v>
      </c>
      <c r="AG701" t="s">
        <v>114</v>
      </c>
    </row>
    <row r="702" spans="1:33" x14ac:dyDescent="0.25">
      <c r="A702" t="str">
        <f>"1194737486"</f>
        <v>1194737486</v>
      </c>
      <c r="B702" t="str">
        <f>"02641041"</f>
        <v>02641041</v>
      </c>
      <c r="C702" t="s">
        <v>2936</v>
      </c>
      <c r="D702" t="s">
        <v>2937</v>
      </c>
      <c r="E702" t="s">
        <v>2938</v>
      </c>
      <c r="G702" t="s">
        <v>2929</v>
      </c>
      <c r="H702" t="s">
        <v>2460</v>
      </c>
      <c r="J702" t="s">
        <v>2461</v>
      </c>
      <c r="L702" t="s">
        <v>166</v>
      </c>
      <c r="M702" t="s">
        <v>167</v>
      </c>
      <c r="R702" t="s">
        <v>2936</v>
      </c>
      <c r="W702" t="s">
        <v>2939</v>
      </c>
      <c r="X702" t="s">
        <v>2940</v>
      </c>
      <c r="Y702" t="s">
        <v>225</v>
      </c>
      <c r="Z702" t="s">
        <v>110</v>
      </c>
      <c r="AA702" t="str">
        <f>"11354-5321"</f>
        <v>11354-5321</v>
      </c>
      <c r="AB702" t="s">
        <v>172</v>
      </c>
      <c r="AC702" t="s">
        <v>112</v>
      </c>
      <c r="AD702" t="s">
        <v>107</v>
      </c>
      <c r="AE702" t="s">
        <v>113</v>
      </c>
      <c r="AG702" t="s">
        <v>114</v>
      </c>
    </row>
    <row r="703" spans="1:33" x14ac:dyDescent="0.25">
      <c r="A703" t="str">
        <f>"1912004805"</f>
        <v>1912004805</v>
      </c>
      <c r="B703" t="str">
        <f>"00385433"</f>
        <v>00385433</v>
      </c>
      <c r="C703" t="s">
        <v>2941</v>
      </c>
      <c r="D703" t="s">
        <v>2942</v>
      </c>
      <c r="E703" t="s">
        <v>2943</v>
      </c>
      <c r="G703" t="s">
        <v>2929</v>
      </c>
      <c r="H703" t="s">
        <v>2460</v>
      </c>
      <c r="J703" t="s">
        <v>2461</v>
      </c>
      <c r="L703" t="s">
        <v>166</v>
      </c>
      <c r="M703" t="s">
        <v>107</v>
      </c>
      <c r="R703" t="s">
        <v>2941</v>
      </c>
      <c r="W703" t="s">
        <v>2943</v>
      </c>
      <c r="X703" t="s">
        <v>311</v>
      </c>
      <c r="Y703" t="s">
        <v>225</v>
      </c>
      <c r="Z703" t="s">
        <v>110</v>
      </c>
      <c r="AA703" t="str">
        <f>"11355-5045"</f>
        <v>11355-5045</v>
      </c>
      <c r="AB703" t="s">
        <v>172</v>
      </c>
      <c r="AC703" t="s">
        <v>112</v>
      </c>
      <c r="AD703" t="s">
        <v>107</v>
      </c>
      <c r="AE703" t="s">
        <v>113</v>
      </c>
      <c r="AG703" t="s">
        <v>114</v>
      </c>
    </row>
    <row r="704" spans="1:33" x14ac:dyDescent="0.25">
      <c r="A704" t="str">
        <f>"1407974199"</f>
        <v>1407974199</v>
      </c>
      <c r="B704" t="str">
        <f>"01182374"</f>
        <v>01182374</v>
      </c>
      <c r="C704" t="s">
        <v>2944</v>
      </c>
      <c r="D704" t="s">
        <v>2945</v>
      </c>
      <c r="E704" t="s">
        <v>2946</v>
      </c>
      <c r="G704" t="s">
        <v>2929</v>
      </c>
      <c r="H704" t="s">
        <v>2460</v>
      </c>
      <c r="J704" t="s">
        <v>2461</v>
      </c>
      <c r="L704" t="s">
        <v>166</v>
      </c>
      <c r="M704" t="s">
        <v>107</v>
      </c>
      <c r="R704" t="s">
        <v>2944</v>
      </c>
      <c r="W704" t="s">
        <v>2946</v>
      </c>
      <c r="X704" t="s">
        <v>2947</v>
      </c>
      <c r="Y704" t="s">
        <v>880</v>
      </c>
      <c r="Z704" t="s">
        <v>110</v>
      </c>
      <c r="AA704" t="str">
        <f>"11370-1824"</f>
        <v>11370-1824</v>
      </c>
      <c r="AB704" t="s">
        <v>172</v>
      </c>
      <c r="AC704" t="s">
        <v>112</v>
      </c>
      <c r="AD704" t="s">
        <v>107</v>
      </c>
      <c r="AE704" t="s">
        <v>113</v>
      </c>
      <c r="AG704" t="s">
        <v>114</v>
      </c>
    </row>
    <row r="705" spans="1:33" x14ac:dyDescent="0.25">
      <c r="A705" t="str">
        <f>"1972537371"</f>
        <v>1972537371</v>
      </c>
      <c r="B705" t="str">
        <f>"01374863"</f>
        <v>01374863</v>
      </c>
      <c r="C705" t="s">
        <v>2948</v>
      </c>
      <c r="D705" t="s">
        <v>2949</v>
      </c>
      <c r="E705" t="s">
        <v>2950</v>
      </c>
      <c r="G705" t="s">
        <v>2929</v>
      </c>
      <c r="H705" t="s">
        <v>2460</v>
      </c>
      <c r="J705" t="s">
        <v>2461</v>
      </c>
      <c r="L705" t="s">
        <v>106</v>
      </c>
      <c r="M705" t="s">
        <v>107</v>
      </c>
      <c r="R705" t="s">
        <v>2948</v>
      </c>
      <c r="W705" t="s">
        <v>2950</v>
      </c>
      <c r="X705" t="s">
        <v>2463</v>
      </c>
      <c r="Y705" t="s">
        <v>225</v>
      </c>
      <c r="Z705" t="s">
        <v>110</v>
      </c>
      <c r="AA705" t="str">
        <f>"11354-3050"</f>
        <v>11354-3050</v>
      </c>
      <c r="AB705" t="s">
        <v>172</v>
      </c>
      <c r="AC705" t="s">
        <v>112</v>
      </c>
      <c r="AD705" t="s">
        <v>107</v>
      </c>
      <c r="AE705" t="s">
        <v>113</v>
      </c>
      <c r="AG705" t="s">
        <v>114</v>
      </c>
    </row>
    <row r="706" spans="1:33" x14ac:dyDescent="0.25">
      <c r="A706" t="str">
        <f>"1457390536"</f>
        <v>1457390536</v>
      </c>
      <c r="B706" t="str">
        <f>"00898600"</f>
        <v>00898600</v>
      </c>
      <c r="C706" t="s">
        <v>2951</v>
      </c>
      <c r="D706" t="s">
        <v>2952</v>
      </c>
      <c r="E706" t="s">
        <v>2953</v>
      </c>
      <c r="G706" t="s">
        <v>308</v>
      </c>
      <c r="H706" t="s">
        <v>309</v>
      </c>
      <c r="J706" t="s">
        <v>310</v>
      </c>
      <c r="L706" t="s">
        <v>215</v>
      </c>
      <c r="M706" t="s">
        <v>107</v>
      </c>
      <c r="R706" t="s">
        <v>2951</v>
      </c>
      <c r="W706" t="s">
        <v>2953</v>
      </c>
      <c r="X706" t="s">
        <v>2954</v>
      </c>
      <c r="Y706" t="s">
        <v>880</v>
      </c>
      <c r="Z706" t="s">
        <v>110</v>
      </c>
      <c r="AA706" t="str">
        <f>"11369-1930"</f>
        <v>11369-1930</v>
      </c>
      <c r="AB706" t="s">
        <v>172</v>
      </c>
      <c r="AC706" t="s">
        <v>112</v>
      </c>
      <c r="AD706" t="s">
        <v>107</v>
      </c>
      <c r="AE706" t="s">
        <v>113</v>
      </c>
      <c r="AG706" t="s">
        <v>114</v>
      </c>
    </row>
    <row r="707" spans="1:33" x14ac:dyDescent="0.25">
      <c r="A707" t="str">
        <f>"1750417713"</f>
        <v>1750417713</v>
      </c>
      <c r="B707" t="str">
        <f>"01553240"</f>
        <v>01553240</v>
      </c>
      <c r="C707" t="s">
        <v>2955</v>
      </c>
      <c r="D707" t="s">
        <v>2956</v>
      </c>
      <c r="E707" t="s">
        <v>2957</v>
      </c>
      <c r="G707" t="s">
        <v>308</v>
      </c>
      <c r="H707" t="s">
        <v>309</v>
      </c>
      <c r="J707" t="s">
        <v>310</v>
      </c>
      <c r="L707" t="s">
        <v>166</v>
      </c>
      <c r="M707" t="s">
        <v>107</v>
      </c>
      <c r="R707" t="s">
        <v>2955</v>
      </c>
      <c r="W707" t="s">
        <v>2957</v>
      </c>
      <c r="X707" t="s">
        <v>502</v>
      </c>
      <c r="Y707" t="s">
        <v>225</v>
      </c>
      <c r="Z707" t="s">
        <v>110</v>
      </c>
      <c r="AA707" t="str">
        <f>"11355-5045"</f>
        <v>11355-5045</v>
      </c>
      <c r="AB707" t="s">
        <v>172</v>
      </c>
      <c r="AC707" t="s">
        <v>112</v>
      </c>
      <c r="AD707" t="s">
        <v>107</v>
      </c>
      <c r="AE707" t="s">
        <v>113</v>
      </c>
      <c r="AG707" t="s">
        <v>114</v>
      </c>
    </row>
    <row r="708" spans="1:33" x14ac:dyDescent="0.25">
      <c r="A708" t="str">
        <f>"1275529497"</f>
        <v>1275529497</v>
      </c>
      <c r="B708" t="str">
        <f>"01725460"</f>
        <v>01725460</v>
      </c>
      <c r="C708" t="s">
        <v>2958</v>
      </c>
      <c r="D708" t="s">
        <v>2959</v>
      </c>
      <c r="E708" t="s">
        <v>2960</v>
      </c>
      <c r="G708" t="s">
        <v>308</v>
      </c>
      <c r="H708" t="s">
        <v>309</v>
      </c>
      <c r="J708" t="s">
        <v>310</v>
      </c>
      <c r="L708" t="s">
        <v>215</v>
      </c>
      <c r="M708" t="s">
        <v>107</v>
      </c>
      <c r="R708" t="s">
        <v>2958</v>
      </c>
      <c r="W708" t="s">
        <v>2960</v>
      </c>
      <c r="X708" t="s">
        <v>2961</v>
      </c>
      <c r="Y708" t="s">
        <v>1310</v>
      </c>
      <c r="Z708" t="s">
        <v>110</v>
      </c>
      <c r="AA708" t="str">
        <f>"11572-1551"</f>
        <v>11572-1551</v>
      </c>
      <c r="AB708" t="s">
        <v>172</v>
      </c>
      <c r="AC708" t="s">
        <v>112</v>
      </c>
      <c r="AD708" t="s">
        <v>107</v>
      </c>
      <c r="AE708" t="s">
        <v>113</v>
      </c>
      <c r="AG708" t="s">
        <v>114</v>
      </c>
    </row>
    <row r="709" spans="1:33" x14ac:dyDescent="0.25">
      <c r="A709" t="str">
        <f>"1063451219"</f>
        <v>1063451219</v>
      </c>
      <c r="B709" t="str">
        <f>"01395380"</f>
        <v>01395380</v>
      </c>
      <c r="C709" t="s">
        <v>2962</v>
      </c>
      <c r="D709" t="s">
        <v>2963</v>
      </c>
      <c r="E709" t="s">
        <v>2964</v>
      </c>
      <c r="G709" t="s">
        <v>308</v>
      </c>
      <c r="H709" t="s">
        <v>309</v>
      </c>
      <c r="J709" t="s">
        <v>310</v>
      </c>
      <c r="L709" t="s">
        <v>215</v>
      </c>
      <c r="M709" t="s">
        <v>107</v>
      </c>
      <c r="R709" t="s">
        <v>2962</v>
      </c>
      <c r="W709" t="s">
        <v>2964</v>
      </c>
      <c r="X709" t="s">
        <v>2965</v>
      </c>
      <c r="Y709" t="s">
        <v>325</v>
      </c>
      <c r="Z709" t="s">
        <v>110</v>
      </c>
      <c r="AA709" t="str">
        <f>"10065-4870"</f>
        <v>10065-4870</v>
      </c>
      <c r="AB709" t="s">
        <v>172</v>
      </c>
      <c r="AC709" t="s">
        <v>112</v>
      </c>
      <c r="AD709" t="s">
        <v>107</v>
      </c>
      <c r="AE709" t="s">
        <v>113</v>
      </c>
      <c r="AG709" t="s">
        <v>114</v>
      </c>
    </row>
    <row r="710" spans="1:33" x14ac:dyDescent="0.25">
      <c r="A710" t="str">
        <f>"1659598464"</f>
        <v>1659598464</v>
      </c>
      <c r="B710" t="str">
        <f>"02912650"</f>
        <v>02912650</v>
      </c>
      <c r="C710" t="s">
        <v>2966</v>
      </c>
      <c r="D710" t="s">
        <v>2967</v>
      </c>
      <c r="E710" t="s">
        <v>2968</v>
      </c>
      <c r="G710" t="s">
        <v>308</v>
      </c>
      <c r="H710" t="s">
        <v>309</v>
      </c>
      <c r="J710" t="s">
        <v>310</v>
      </c>
      <c r="L710" t="s">
        <v>215</v>
      </c>
      <c r="M710" t="s">
        <v>107</v>
      </c>
      <c r="R710" t="s">
        <v>2966</v>
      </c>
      <c r="W710" t="s">
        <v>2968</v>
      </c>
      <c r="X710" t="s">
        <v>311</v>
      </c>
      <c r="Y710" t="s">
        <v>225</v>
      </c>
      <c r="Z710" t="s">
        <v>110</v>
      </c>
      <c r="AA710" t="str">
        <f>"11355-5045"</f>
        <v>11355-5045</v>
      </c>
      <c r="AB710" t="s">
        <v>172</v>
      </c>
      <c r="AC710" t="s">
        <v>112</v>
      </c>
      <c r="AD710" t="s">
        <v>107</v>
      </c>
      <c r="AE710" t="s">
        <v>113</v>
      </c>
      <c r="AG710" t="s">
        <v>114</v>
      </c>
    </row>
    <row r="711" spans="1:33" x14ac:dyDescent="0.25">
      <c r="A711" t="str">
        <f>"1972588564"</f>
        <v>1972588564</v>
      </c>
      <c r="B711" t="str">
        <f>"00830300"</f>
        <v>00830300</v>
      </c>
      <c r="C711" t="s">
        <v>2969</v>
      </c>
      <c r="D711" t="s">
        <v>2970</v>
      </c>
      <c r="E711" t="s">
        <v>2971</v>
      </c>
      <c r="G711" t="s">
        <v>308</v>
      </c>
      <c r="H711" t="s">
        <v>309</v>
      </c>
      <c r="J711" t="s">
        <v>310</v>
      </c>
      <c r="L711" t="s">
        <v>215</v>
      </c>
      <c r="M711" t="s">
        <v>107</v>
      </c>
      <c r="R711" t="s">
        <v>2969</v>
      </c>
      <c r="W711" t="s">
        <v>2971</v>
      </c>
      <c r="X711" t="s">
        <v>2972</v>
      </c>
      <c r="Y711" t="s">
        <v>325</v>
      </c>
      <c r="Z711" t="s">
        <v>110</v>
      </c>
      <c r="AA711" t="str">
        <f>"11355"</f>
        <v>11355</v>
      </c>
      <c r="AB711" t="s">
        <v>172</v>
      </c>
      <c r="AC711" t="s">
        <v>112</v>
      </c>
      <c r="AD711" t="s">
        <v>107</v>
      </c>
      <c r="AE711" t="s">
        <v>113</v>
      </c>
      <c r="AG711" t="s">
        <v>114</v>
      </c>
    </row>
    <row r="712" spans="1:33" x14ac:dyDescent="0.25">
      <c r="A712" t="str">
        <f>"1962455808"</f>
        <v>1962455808</v>
      </c>
      <c r="B712" t="str">
        <f>"01026080"</f>
        <v>01026080</v>
      </c>
      <c r="C712" t="s">
        <v>2973</v>
      </c>
      <c r="D712" t="s">
        <v>2974</v>
      </c>
      <c r="E712" t="s">
        <v>2975</v>
      </c>
      <c r="G712" t="s">
        <v>308</v>
      </c>
      <c r="H712" t="s">
        <v>309</v>
      </c>
      <c r="J712" t="s">
        <v>310</v>
      </c>
      <c r="L712" t="s">
        <v>106</v>
      </c>
      <c r="M712" t="s">
        <v>107</v>
      </c>
      <c r="R712" t="s">
        <v>2973</v>
      </c>
      <c r="W712" t="s">
        <v>2975</v>
      </c>
      <c r="X712" t="s">
        <v>892</v>
      </c>
      <c r="Y712" t="s">
        <v>225</v>
      </c>
      <c r="Z712" t="s">
        <v>110</v>
      </c>
      <c r="AA712" t="str">
        <f>"11355-5045"</f>
        <v>11355-5045</v>
      </c>
      <c r="AB712" t="s">
        <v>172</v>
      </c>
      <c r="AC712" t="s">
        <v>112</v>
      </c>
      <c r="AD712" t="s">
        <v>107</v>
      </c>
      <c r="AE712" t="s">
        <v>113</v>
      </c>
      <c r="AG712" t="s">
        <v>114</v>
      </c>
    </row>
    <row r="713" spans="1:33" x14ac:dyDescent="0.25">
      <c r="A713" t="str">
        <f>"1790730026"</f>
        <v>1790730026</v>
      </c>
      <c r="B713" t="str">
        <f>"01860159"</f>
        <v>01860159</v>
      </c>
      <c r="C713" t="s">
        <v>2976</v>
      </c>
      <c r="D713" t="s">
        <v>2977</v>
      </c>
      <c r="E713" t="s">
        <v>2978</v>
      </c>
      <c r="G713" t="s">
        <v>308</v>
      </c>
      <c r="H713" t="s">
        <v>309</v>
      </c>
      <c r="J713" t="s">
        <v>310</v>
      </c>
      <c r="L713" t="s">
        <v>215</v>
      </c>
      <c r="M713" t="s">
        <v>107</v>
      </c>
      <c r="R713" t="s">
        <v>2976</v>
      </c>
      <c r="W713" t="s">
        <v>2978</v>
      </c>
      <c r="Y713" t="s">
        <v>183</v>
      </c>
      <c r="Z713" t="s">
        <v>110</v>
      </c>
      <c r="AA713" t="str">
        <f>"10451-5589"</f>
        <v>10451-5589</v>
      </c>
      <c r="AB713" t="s">
        <v>172</v>
      </c>
      <c r="AC713" t="s">
        <v>112</v>
      </c>
      <c r="AD713" t="s">
        <v>107</v>
      </c>
      <c r="AE713" t="s">
        <v>113</v>
      </c>
      <c r="AG713" t="s">
        <v>114</v>
      </c>
    </row>
    <row r="714" spans="1:33" x14ac:dyDescent="0.25">
      <c r="A714" t="str">
        <f>"1205803269"</f>
        <v>1205803269</v>
      </c>
      <c r="B714" t="str">
        <f>"02203432"</f>
        <v>02203432</v>
      </c>
      <c r="C714" t="s">
        <v>2979</v>
      </c>
      <c r="D714" t="s">
        <v>2980</v>
      </c>
      <c r="E714" t="s">
        <v>2981</v>
      </c>
      <c r="G714" t="s">
        <v>308</v>
      </c>
      <c r="H714" t="s">
        <v>309</v>
      </c>
      <c r="J714" t="s">
        <v>310</v>
      </c>
      <c r="L714" t="s">
        <v>215</v>
      </c>
      <c r="M714" t="s">
        <v>107</v>
      </c>
      <c r="R714" t="s">
        <v>2979</v>
      </c>
      <c r="W714" t="s">
        <v>2981</v>
      </c>
      <c r="X714" t="s">
        <v>2982</v>
      </c>
      <c r="Y714" t="s">
        <v>183</v>
      </c>
      <c r="Z714" t="s">
        <v>110</v>
      </c>
      <c r="AA714" t="str">
        <f>"10467-2401"</f>
        <v>10467-2401</v>
      </c>
      <c r="AB714" t="s">
        <v>172</v>
      </c>
      <c r="AC714" t="s">
        <v>112</v>
      </c>
      <c r="AD714" t="s">
        <v>107</v>
      </c>
      <c r="AE714" t="s">
        <v>113</v>
      </c>
      <c r="AG714" t="s">
        <v>114</v>
      </c>
    </row>
    <row r="715" spans="1:33" x14ac:dyDescent="0.25">
      <c r="A715" t="str">
        <f>"1366609430"</f>
        <v>1366609430</v>
      </c>
      <c r="B715" t="str">
        <f>"03166878"</f>
        <v>03166878</v>
      </c>
      <c r="C715" t="s">
        <v>2983</v>
      </c>
      <c r="D715" t="s">
        <v>2984</v>
      </c>
      <c r="E715" t="s">
        <v>2985</v>
      </c>
      <c r="G715" t="s">
        <v>308</v>
      </c>
      <c r="H715" t="s">
        <v>309</v>
      </c>
      <c r="J715" t="s">
        <v>310</v>
      </c>
      <c r="L715" t="s">
        <v>215</v>
      </c>
      <c r="M715" t="s">
        <v>107</v>
      </c>
      <c r="R715" t="s">
        <v>2983</v>
      </c>
      <c r="W715" t="s">
        <v>2985</v>
      </c>
      <c r="X715" t="s">
        <v>2986</v>
      </c>
      <c r="Y715" t="s">
        <v>225</v>
      </c>
      <c r="Z715" t="s">
        <v>110</v>
      </c>
      <c r="AA715" t="str">
        <f>"11355-5045"</f>
        <v>11355-5045</v>
      </c>
      <c r="AB715" t="s">
        <v>172</v>
      </c>
      <c r="AC715" t="s">
        <v>112</v>
      </c>
      <c r="AD715" t="s">
        <v>107</v>
      </c>
      <c r="AE715" t="s">
        <v>113</v>
      </c>
      <c r="AG715" t="s">
        <v>114</v>
      </c>
    </row>
    <row r="716" spans="1:33" x14ac:dyDescent="0.25">
      <c r="A716" t="str">
        <f>"1780755850"</f>
        <v>1780755850</v>
      </c>
      <c r="B716" t="str">
        <f>"01961962"</f>
        <v>01961962</v>
      </c>
      <c r="C716" t="s">
        <v>2987</v>
      </c>
      <c r="D716" t="s">
        <v>2988</v>
      </c>
      <c r="E716" t="s">
        <v>2989</v>
      </c>
      <c r="G716" t="s">
        <v>308</v>
      </c>
      <c r="H716" t="s">
        <v>309</v>
      </c>
      <c r="J716" t="s">
        <v>310</v>
      </c>
      <c r="L716" t="s">
        <v>106</v>
      </c>
      <c r="M716" t="s">
        <v>107</v>
      </c>
      <c r="R716" t="s">
        <v>2990</v>
      </c>
      <c r="W716" t="s">
        <v>2989</v>
      </c>
      <c r="X716" t="s">
        <v>2991</v>
      </c>
      <c r="Y716" t="s">
        <v>183</v>
      </c>
      <c r="Z716" t="s">
        <v>110</v>
      </c>
      <c r="AA716" t="str">
        <f>"10457-2545"</f>
        <v>10457-2545</v>
      </c>
      <c r="AB716" t="s">
        <v>172</v>
      </c>
      <c r="AC716" t="s">
        <v>112</v>
      </c>
      <c r="AD716" t="s">
        <v>107</v>
      </c>
      <c r="AE716" t="s">
        <v>113</v>
      </c>
      <c r="AG716" t="s">
        <v>114</v>
      </c>
    </row>
    <row r="717" spans="1:33" x14ac:dyDescent="0.25">
      <c r="A717" t="str">
        <f>"1356569826"</f>
        <v>1356569826</v>
      </c>
      <c r="B717" t="str">
        <f>"02932089"</f>
        <v>02932089</v>
      </c>
      <c r="C717" t="s">
        <v>2992</v>
      </c>
      <c r="D717" t="s">
        <v>2993</v>
      </c>
      <c r="E717" t="s">
        <v>2992</v>
      </c>
      <c r="G717" t="s">
        <v>308</v>
      </c>
      <c r="H717" t="s">
        <v>309</v>
      </c>
      <c r="J717" t="s">
        <v>310</v>
      </c>
      <c r="L717" t="s">
        <v>106</v>
      </c>
      <c r="M717" t="s">
        <v>107</v>
      </c>
      <c r="R717" t="s">
        <v>2992</v>
      </c>
      <c r="W717" t="s">
        <v>2994</v>
      </c>
      <c r="X717" t="s">
        <v>2995</v>
      </c>
      <c r="Y717" t="s">
        <v>325</v>
      </c>
      <c r="Z717" t="s">
        <v>110</v>
      </c>
      <c r="AA717" t="str">
        <f>"10029-7404"</f>
        <v>10029-7404</v>
      </c>
      <c r="AB717" t="s">
        <v>172</v>
      </c>
      <c r="AC717" t="s">
        <v>112</v>
      </c>
      <c r="AD717" t="s">
        <v>107</v>
      </c>
      <c r="AE717" t="s">
        <v>113</v>
      </c>
      <c r="AG717" t="s">
        <v>114</v>
      </c>
    </row>
    <row r="718" spans="1:33" x14ac:dyDescent="0.25">
      <c r="A718" t="str">
        <f>"1912347758"</f>
        <v>1912347758</v>
      </c>
      <c r="C718" t="s">
        <v>2996</v>
      </c>
      <c r="G718" t="s">
        <v>308</v>
      </c>
      <c r="H718" t="s">
        <v>309</v>
      </c>
      <c r="J718" t="s">
        <v>310</v>
      </c>
      <c r="K718" t="s">
        <v>749</v>
      </c>
      <c r="L718" t="s">
        <v>373</v>
      </c>
      <c r="M718" t="s">
        <v>107</v>
      </c>
      <c r="R718" t="s">
        <v>2997</v>
      </c>
      <c r="S718" t="s">
        <v>2998</v>
      </c>
      <c r="T718" t="s">
        <v>1006</v>
      </c>
      <c r="U718" t="s">
        <v>110</v>
      </c>
      <c r="V718" t="str">
        <f>"103101664"</f>
        <v>103101664</v>
      </c>
      <c r="AC718" t="s">
        <v>112</v>
      </c>
      <c r="AD718" t="s">
        <v>107</v>
      </c>
      <c r="AE718" t="s">
        <v>278</v>
      </c>
      <c r="AG718" t="s">
        <v>114</v>
      </c>
    </row>
    <row r="719" spans="1:33" x14ac:dyDescent="0.25">
      <c r="A719" t="str">
        <f>"1992844641"</f>
        <v>1992844641</v>
      </c>
      <c r="B719" t="str">
        <f>"01327251"</f>
        <v>01327251</v>
      </c>
      <c r="C719" t="s">
        <v>2999</v>
      </c>
      <c r="D719" t="s">
        <v>3000</v>
      </c>
      <c r="E719" t="s">
        <v>3001</v>
      </c>
      <c r="F719">
        <v>146013200</v>
      </c>
      <c r="G719" t="s">
        <v>3002</v>
      </c>
      <c r="H719" t="s">
        <v>3003</v>
      </c>
      <c r="J719" t="s">
        <v>3004</v>
      </c>
      <c r="L719" t="s">
        <v>67</v>
      </c>
      <c r="M719" t="s">
        <v>107</v>
      </c>
      <c r="R719" t="s">
        <v>2999</v>
      </c>
      <c r="W719" t="s">
        <v>3001</v>
      </c>
      <c r="X719" t="s">
        <v>3005</v>
      </c>
      <c r="Y719" t="s">
        <v>481</v>
      </c>
      <c r="Z719" t="s">
        <v>110</v>
      </c>
      <c r="AA719" t="str">
        <f>"11427-2193"</f>
        <v>11427-2193</v>
      </c>
      <c r="AB719" t="s">
        <v>408</v>
      </c>
      <c r="AC719" t="s">
        <v>112</v>
      </c>
      <c r="AD719" t="s">
        <v>107</v>
      </c>
      <c r="AE719" t="s">
        <v>113</v>
      </c>
      <c r="AG719" t="s">
        <v>114</v>
      </c>
    </row>
    <row r="720" spans="1:33" x14ac:dyDescent="0.25">
      <c r="A720" t="str">
        <f>"1407996929"</f>
        <v>1407996929</v>
      </c>
      <c r="B720" t="str">
        <f>"01327233"</f>
        <v>01327233</v>
      </c>
      <c r="C720" t="s">
        <v>2999</v>
      </c>
      <c r="D720" t="s">
        <v>3006</v>
      </c>
      <c r="E720" t="s">
        <v>3007</v>
      </c>
      <c r="F720">
        <v>146013200</v>
      </c>
      <c r="G720" t="s">
        <v>3002</v>
      </c>
      <c r="H720" t="s">
        <v>3003</v>
      </c>
      <c r="J720" t="s">
        <v>3004</v>
      </c>
      <c r="L720" t="s">
        <v>67</v>
      </c>
      <c r="M720" t="s">
        <v>107</v>
      </c>
      <c r="R720" t="s">
        <v>2999</v>
      </c>
      <c r="W720" t="s">
        <v>3007</v>
      </c>
      <c r="X720" t="s">
        <v>3008</v>
      </c>
      <c r="Y720" t="s">
        <v>481</v>
      </c>
      <c r="Z720" t="s">
        <v>110</v>
      </c>
      <c r="AA720" t="str">
        <f>"11427-2193"</f>
        <v>11427-2193</v>
      </c>
      <c r="AB720" t="s">
        <v>408</v>
      </c>
      <c r="AC720" t="s">
        <v>112</v>
      </c>
      <c r="AD720" t="s">
        <v>107</v>
      </c>
      <c r="AE720" t="s">
        <v>113</v>
      </c>
      <c r="AG720" t="s">
        <v>114</v>
      </c>
    </row>
    <row r="721" spans="1:33" x14ac:dyDescent="0.25">
      <c r="A721" t="str">
        <f>"1063590891"</f>
        <v>1063590891</v>
      </c>
      <c r="B721" t="str">
        <f>"02823449"</f>
        <v>02823449</v>
      </c>
      <c r="C721" t="s">
        <v>3009</v>
      </c>
      <c r="D721" t="s">
        <v>3010</v>
      </c>
      <c r="E721" t="s">
        <v>3011</v>
      </c>
      <c r="G721" t="s">
        <v>3002</v>
      </c>
      <c r="H721" t="s">
        <v>3003</v>
      </c>
      <c r="J721" t="s">
        <v>3004</v>
      </c>
      <c r="L721" t="s">
        <v>166</v>
      </c>
      <c r="M721" t="s">
        <v>107</v>
      </c>
      <c r="R721" t="s">
        <v>3009</v>
      </c>
      <c r="W721" t="s">
        <v>3012</v>
      </c>
      <c r="X721" t="s">
        <v>3013</v>
      </c>
      <c r="Y721" t="s">
        <v>1006</v>
      </c>
      <c r="Z721" t="s">
        <v>110</v>
      </c>
      <c r="AA721" t="str">
        <f>"10304-3830"</f>
        <v>10304-3830</v>
      </c>
      <c r="AB721" t="s">
        <v>172</v>
      </c>
      <c r="AC721" t="s">
        <v>112</v>
      </c>
      <c r="AD721" t="s">
        <v>107</v>
      </c>
      <c r="AE721" t="s">
        <v>113</v>
      </c>
      <c r="AG721" t="s">
        <v>114</v>
      </c>
    </row>
    <row r="722" spans="1:33" x14ac:dyDescent="0.25">
      <c r="A722" t="str">
        <f>"1174544605"</f>
        <v>1174544605</v>
      </c>
      <c r="B722" t="str">
        <f>"00607043"</f>
        <v>00607043</v>
      </c>
      <c r="C722" t="s">
        <v>3014</v>
      </c>
      <c r="D722" t="s">
        <v>3015</v>
      </c>
      <c r="E722" t="s">
        <v>3016</v>
      </c>
      <c r="G722" t="s">
        <v>3002</v>
      </c>
      <c r="H722" t="s">
        <v>3003</v>
      </c>
      <c r="J722" t="s">
        <v>3004</v>
      </c>
      <c r="L722" t="s">
        <v>106</v>
      </c>
      <c r="M722" t="s">
        <v>107</v>
      </c>
      <c r="R722" t="s">
        <v>3014</v>
      </c>
      <c r="W722" t="s">
        <v>3016</v>
      </c>
      <c r="X722" t="s">
        <v>3017</v>
      </c>
      <c r="Y722" t="s">
        <v>225</v>
      </c>
      <c r="Z722" t="s">
        <v>110</v>
      </c>
      <c r="AA722" t="str">
        <f>"11355-3631"</f>
        <v>11355-3631</v>
      </c>
      <c r="AB722" t="s">
        <v>172</v>
      </c>
      <c r="AC722" t="s">
        <v>112</v>
      </c>
      <c r="AD722" t="s">
        <v>107</v>
      </c>
      <c r="AE722" t="s">
        <v>113</v>
      </c>
      <c r="AG722" t="s">
        <v>114</v>
      </c>
    </row>
    <row r="723" spans="1:33" x14ac:dyDescent="0.25">
      <c r="A723" t="str">
        <f>"1295809028"</f>
        <v>1295809028</v>
      </c>
      <c r="B723" t="str">
        <f>"02781491"</f>
        <v>02781491</v>
      </c>
      <c r="C723" t="s">
        <v>3018</v>
      </c>
      <c r="D723" t="s">
        <v>3019</v>
      </c>
      <c r="E723" t="s">
        <v>3020</v>
      </c>
      <c r="G723" t="s">
        <v>3002</v>
      </c>
      <c r="H723" t="s">
        <v>3003</v>
      </c>
      <c r="J723" t="s">
        <v>3004</v>
      </c>
      <c r="L723" t="s">
        <v>106</v>
      </c>
      <c r="M723" t="s">
        <v>107</v>
      </c>
      <c r="R723" t="s">
        <v>3018</v>
      </c>
      <c r="W723" t="s">
        <v>3020</v>
      </c>
      <c r="X723" t="s">
        <v>3021</v>
      </c>
      <c r="Y723" t="s">
        <v>982</v>
      </c>
      <c r="Z723" t="s">
        <v>110</v>
      </c>
      <c r="AA723" t="str">
        <f>"11423-2959"</f>
        <v>11423-2959</v>
      </c>
      <c r="AB723" t="s">
        <v>172</v>
      </c>
      <c r="AC723" t="s">
        <v>112</v>
      </c>
      <c r="AD723" t="s">
        <v>107</v>
      </c>
      <c r="AE723" t="s">
        <v>113</v>
      </c>
      <c r="AG723" t="s">
        <v>114</v>
      </c>
    </row>
    <row r="724" spans="1:33" x14ac:dyDescent="0.25">
      <c r="A724" t="str">
        <f>"1477685238"</f>
        <v>1477685238</v>
      </c>
      <c r="B724" t="str">
        <f>"01365273"</f>
        <v>01365273</v>
      </c>
      <c r="C724" t="s">
        <v>3022</v>
      </c>
      <c r="D724" t="s">
        <v>3023</v>
      </c>
      <c r="E724" t="s">
        <v>3024</v>
      </c>
      <c r="G724" t="s">
        <v>3002</v>
      </c>
      <c r="H724" t="s">
        <v>3003</v>
      </c>
      <c r="J724" t="s">
        <v>3004</v>
      </c>
      <c r="L724" t="s">
        <v>106</v>
      </c>
      <c r="M724" t="s">
        <v>107</v>
      </c>
      <c r="R724" t="s">
        <v>3022</v>
      </c>
      <c r="W724" t="s">
        <v>3024</v>
      </c>
      <c r="X724" t="s">
        <v>3025</v>
      </c>
      <c r="Y724" t="s">
        <v>481</v>
      </c>
      <c r="Z724" t="s">
        <v>110</v>
      </c>
      <c r="AA724" t="str">
        <f>"11428-0507"</f>
        <v>11428-0507</v>
      </c>
      <c r="AB724" t="s">
        <v>172</v>
      </c>
      <c r="AC724" t="s">
        <v>112</v>
      </c>
      <c r="AD724" t="s">
        <v>107</v>
      </c>
      <c r="AE724" t="s">
        <v>113</v>
      </c>
      <c r="AG724" t="s">
        <v>114</v>
      </c>
    </row>
    <row r="725" spans="1:33" x14ac:dyDescent="0.25">
      <c r="A725" t="str">
        <f>"1750324117"</f>
        <v>1750324117</v>
      </c>
      <c r="B725" t="str">
        <f>"02729940"</f>
        <v>02729940</v>
      </c>
      <c r="C725" t="s">
        <v>3026</v>
      </c>
      <c r="D725" t="s">
        <v>3027</v>
      </c>
      <c r="E725" t="s">
        <v>3028</v>
      </c>
      <c r="G725" t="s">
        <v>3002</v>
      </c>
      <c r="H725" t="s">
        <v>3003</v>
      </c>
      <c r="J725" t="s">
        <v>3004</v>
      </c>
      <c r="L725" t="s">
        <v>166</v>
      </c>
      <c r="M725" t="s">
        <v>107</v>
      </c>
      <c r="R725" t="s">
        <v>3026</v>
      </c>
      <c r="W725" t="s">
        <v>3026</v>
      </c>
      <c r="X725" t="s">
        <v>3029</v>
      </c>
      <c r="Y725" t="s">
        <v>1067</v>
      </c>
      <c r="Z725" t="s">
        <v>110</v>
      </c>
      <c r="AA725" t="str">
        <f>"10601"</f>
        <v>10601</v>
      </c>
      <c r="AB725" t="s">
        <v>172</v>
      </c>
      <c r="AC725" t="s">
        <v>112</v>
      </c>
      <c r="AD725" t="s">
        <v>107</v>
      </c>
      <c r="AE725" t="s">
        <v>113</v>
      </c>
      <c r="AG725" t="s">
        <v>114</v>
      </c>
    </row>
    <row r="726" spans="1:33" x14ac:dyDescent="0.25">
      <c r="A726" t="str">
        <f>"1053461707"</f>
        <v>1053461707</v>
      </c>
      <c r="B726" t="str">
        <f>"01579042"</f>
        <v>01579042</v>
      </c>
      <c r="C726" t="s">
        <v>3030</v>
      </c>
      <c r="D726" t="s">
        <v>3031</v>
      </c>
      <c r="E726" t="s">
        <v>3032</v>
      </c>
      <c r="G726" t="s">
        <v>3002</v>
      </c>
      <c r="H726" t="s">
        <v>3003</v>
      </c>
      <c r="J726" t="s">
        <v>3004</v>
      </c>
      <c r="L726" t="s">
        <v>215</v>
      </c>
      <c r="M726" t="s">
        <v>107</v>
      </c>
      <c r="R726" t="s">
        <v>3030</v>
      </c>
      <c r="W726" t="s">
        <v>3032</v>
      </c>
      <c r="X726" t="s">
        <v>3033</v>
      </c>
      <c r="Y726" t="s">
        <v>109</v>
      </c>
      <c r="Z726" t="s">
        <v>110</v>
      </c>
      <c r="AA726" t="str">
        <f>"11374-5212"</f>
        <v>11374-5212</v>
      </c>
      <c r="AB726" t="s">
        <v>172</v>
      </c>
      <c r="AC726" t="s">
        <v>112</v>
      </c>
      <c r="AD726" t="s">
        <v>107</v>
      </c>
      <c r="AE726" t="s">
        <v>113</v>
      </c>
      <c r="AG726" t="s">
        <v>114</v>
      </c>
    </row>
    <row r="727" spans="1:33" x14ac:dyDescent="0.25">
      <c r="A727" t="str">
        <f>"1548365612"</f>
        <v>1548365612</v>
      </c>
      <c r="B727" t="str">
        <f>"00781939"</f>
        <v>00781939</v>
      </c>
      <c r="C727" t="s">
        <v>3034</v>
      </c>
      <c r="D727" t="s">
        <v>3035</v>
      </c>
      <c r="E727" t="s">
        <v>3036</v>
      </c>
      <c r="G727" t="s">
        <v>3002</v>
      </c>
      <c r="H727" t="s">
        <v>3003</v>
      </c>
      <c r="J727" t="s">
        <v>3004</v>
      </c>
      <c r="L727" t="s">
        <v>106</v>
      </c>
      <c r="M727" t="s">
        <v>107</v>
      </c>
      <c r="R727" t="s">
        <v>3034</v>
      </c>
      <c r="W727" t="s">
        <v>3036</v>
      </c>
      <c r="X727" t="s">
        <v>3037</v>
      </c>
      <c r="Y727" t="s">
        <v>422</v>
      </c>
      <c r="Z727" t="s">
        <v>110</v>
      </c>
      <c r="AA727" t="str">
        <f>"11432-2927"</f>
        <v>11432-2927</v>
      </c>
      <c r="AB727" t="s">
        <v>172</v>
      </c>
      <c r="AC727" t="s">
        <v>112</v>
      </c>
      <c r="AD727" t="s">
        <v>107</v>
      </c>
      <c r="AE727" t="s">
        <v>113</v>
      </c>
      <c r="AG727" t="s">
        <v>114</v>
      </c>
    </row>
    <row r="728" spans="1:33" x14ac:dyDescent="0.25">
      <c r="A728" t="str">
        <f>"1043416068"</f>
        <v>1043416068</v>
      </c>
      <c r="B728" t="str">
        <f>"04524145"</f>
        <v>04524145</v>
      </c>
      <c r="C728" t="s">
        <v>3038</v>
      </c>
      <c r="D728" t="s">
        <v>3039</v>
      </c>
      <c r="E728" t="s">
        <v>3040</v>
      </c>
      <c r="G728" t="s">
        <v>3002</v>
      </c>
      <c r="H728" t="s">
        <v>3003</v>
      </c>
      <c r="J728" t="s">
        <v>3004</v>
      </c>
      <c r="L728" t="s">
        <v>373</v>
      </c>
      <c r="M728" t="s">
        <v>107</v>
      </c>
      <c r="R728" t="s">
        <v>3038</v>
      </c>
      <c r="W728" t="s">
        <v>3040</v>
      </c>
      <c r="AB728" t="s">
        <v>172</v>
      </c>
      <c r="AC728" t="s">
        <v>112</v>
      </c>
      <c r="AD728" t="s">
        <v>107</v>
      </c>
      <c r="AE728" t="s">
        <v>113</v>
      </c>
      <c r="AG728" t="s">
        <v>114</v>
      </c>
    </row>
    <row r="729" spans="1:33" x14ac:dyDescent="0.25">
      <c r="A729" t="str">
        <f>"1619059052"</f>
        <v>1619059052</v>
      </c>
      <c r="B729" t="str">
        <f>"01438233"</f>
        <v>01438233</v>
      </c>
      <c r="C729" t="s">
        <v>3041</v>
      </c>
      <c r="D729" t="s">
        <v>3042</v>
      </c>
      <c r="E729" t="s">
        <v>3043</v>
      </c>
      <c r="G729" t="s">
        <v>3044</v>
      </c>
      <c r="H729" t="s">
        <v>3045</v>
      </c>
      <c r="J729" t="s">
        <v>3046</v>
      </c>
      <c r="L729" t="s">
        <v>14</v>
      </c>
      <c r="M729" t="s">
        <v>167</v>
      </c>
      <c r="R729" t="s">
        <v>3041</v>
      </c>
      <c r="W729" t="s">
        <v>3043</v>
      </c>
      <c r="X729" t="s">
        <v>1195</v>
      </c>
      <c r="Y729" t="s">
        <v>481</v>
      </c>
      <c r="Z729" t="s">
        <v>110</v>
      </c>
      <c r="AA729" t="str">
        <f>"11427-2194"</f>
        <v>11427-2194</v>
      </c>
      <c r="AB729" t="s">
        <v>688</v>
      </c>
      <c r="AC729" t="s">
        <v>112</v>
      </c>
      <c r="AD729" t="s">
        <v>107</v>
      </c>
      <c r="AE729" t="s">
        <v>113</v>
      </c>
      <c r="AG729" t="s">
        <v>114</v>
      </c>
    </row>
    <row r="730" spans="1:33" x14ac:dyDescent="0.25">
      <c r="A730" t="str">
        <f>"1093045353"</f>
        <v>1093045353</v>
      </c>
      <c r="B730" t="str">
        <f>"03194305"</f>
        <v>03194305</v>
      </c>
      <c r="C730" t="s">
        <v>3047</v>
      </c>
      <c r="D730" t="s">
        <v>3048</v>
      </c>
      <c r="E730" t="s">
        <v>3049</v>
      </c>
      <c r="G730" t="s">
        <v>212</v>
      </c>
      <c r="H730" t="s">
        <v>213</v>
      </c>
      <c r="J730" t="s">
        <v>214</v>
      </c>
      <c r="L730" t="s">
        <v>166</v>
      </c>
      <c r="M730" t="s">
        <v>167</v>
      </c>
      <c r="R730" t="s">
        <v>3047</v>
      </c>
      <c r="W730" t="s">
        <v>3049</v>
      </c>
      <c r="X730" t="s">
        <v>3050</v>
      </c>
      <c r="Y730" t="s">
        <v>240</v>
      </c>
      <c r="Z730" t="s">
        <v>110</v>
      </c>
      <c r="AA730" t="str">
        <f>"11201-5509"</f>
        <v>11201-5509</v>
      </c>
      <c r="AB730" t="s">
        <v>172</v>
      </c>
      <c r="AC730" t="s">
        <v>112</v>
      </c>
      <c r="AD730" t="s">
        <v>107</v>
      </c>
      <c r="AE730" t="s">
        <v>113</v>
      </c>
      <c r="AG730" t="s">
        <v>114</v>
      </c>
    </row>
    <row r="731" spans="1:33" x14ac:dyDescent="0.25">
      <c r="A731" t="str">
        <f>"1306837000"</f>
        <v>1306837000</v>
      </c>
      <c r="B731" t="str">
        <f>"01044522"</f>
        <v>01044522</v>
      </c>
      <c r="C731" t="s">
        <v>3051</v>
      </c>
      <c r="D731" t="s">
        <v>3052</v>
      </c>
      <c r="E731" t="s">
        <v>3053</v>
      </c>
      <c r="G731" t="s">
        <v>212</v>
      </c>
      <c r="H731" t="s">
        <v>213</v>
      </c>
      <c r="J731" t="s">
        <v>214</v>
      </c>
      <c r="L731" t="s">
        <v>215</v>
      </c>
      <c r="M731" t="s">
        <v>167</v>
      </c>
      <c r="R731" t="s">
        <v>3051</v>
      </c>
      <c r="W731" t="s">
        <v>3053</v>
      </c>
      <c r="X731" t="s">
        <v>1020</v>
      </c>
      <c r="Y731" t="s">
        <v>183</v>
      </c>
      <c r="Z731" t="s">
        <v>110</v>
      </c>
      <c r="AA731" t="str">
        <f>"10457-7606"</f>
        <v>10457-7606</v>
      </c>
      <c r="AB731" t="s">
        <v>172</v>
      </c>
      <c r="AC731" t="s">
        <v>112</v>
      </c>
      <c r="AD731" t="s">
        <v>107</v>
      </c>
      <c r="AE731" t="s">
        <v>113</v>
      </c>
      <c r="AG731" t="s">
        <v>114</v>
      </c>
    </row>
    <row r="732" spans="1:33" x14ac:dyDescent="0.25">
      <c r="A732" t="str">
        <f>"1972659712"</f>
        <v>1972659712</v>
      </c>
      <c r="C732" t="s">
        <v>2601</v>
      </c>
      <c r="G732" t="s">
        <v>2602</v>
      </c>
      <c r="H732" t="s">
        <v>2603</v>
      </c>
      <c r="I732">
        <v>354</v>
      </c>
      <c r="J732" t="s">
        <v>2604</v>
      </c>
      <c r="K732" t="s">
        <v>2605</v>
      </c>
      <c r="L732" t="s">
        <v>373</v>
      </c>
      <c r="M732" t="s">
        <v>107</v>
      </c>
      <c r="R732" t="s">
        <v>2601</v>
      </c>
      <c r="S732" t="s">
        <v>3054</v>
      </c>
      <c r="T732" t="s">
        <v>969</v>
      </c>
      <c r="U732" t="s">
        <v>110</v>
      </c>
      <c r="V732" t="str">
        <f>"113856714"</f>
        <v>113856714</v>
      </c>
      <c r="AC732" t="s">
        <v>112</v>
      </c>
      <c r="AD732" t="s">
        <v>107</v>
      </c>
      <c r="AE732" t="s">
        <v>278</v>
      </c>
      <c r="AG732" t="s">
        <v>114</v>
      </c>
    </row>
    <row r="733" spans="1:33" x14ac:dyDescent="0.25">
      <c r="A733" t="str">
        <f>"1992846257"</f>
        <v>1992846257</v>
      </c>
      <c r="C733" t="s">
        <v>2601</v>
      </c>
      <c r="G733" t="s">
        <v>2602</v>
      </c>
      <c r="H733" t="s">
        <v>2603</v>
      </c>
      <c r="I733">
        <v>354</v>
      </c>
      <c r="J733" t="s">
        <v>2604</v>
      </c>
      <c r="K733" t="s">
        <v>2605</v>
      </c>
      <c r="L733" t="s">
        <v>373</v>
      </c>
      <c r="M733" t="s">
        <v>107</v>
      </c>
      <c r="R733" t="s">
        <v>2601</v>
      </c>
      <c r="S733" t="s">
        <v>2615</v>
      </c>
      <c r="T733" t="s">
        <v>2526</v>
      </c>
      <c r="U733" t="s">
        <v>110</v>
      </c>
      <c r="V733" t="str">
        <f>"113857433"</f>
        <v>113857433</v>
      </c>
      <c r="AC733" t="s">
        <v>112</v>
      </c>
      <c r="AD733" t="s">
        <v>107</v>
      </c>
      <c r="AE733" t="s">
        <v>278</v>
      </c>
      <c r="AG733" t="s">
        <v>114</v>
      </c>
    </row>
    <row r="734" spans="1:33" x14ac:dyDescent="0.25">
      <c r="A734" t="str">
        <f>"1427125632"</f>
        <v>1427125632</v>
      </c>
      <c r="B734" t="str">
        <f>"01979006"</f>
        <v>01979006</v>
      </c>
      <c r="C734" t="s">
        <v>3055</v>
      </c>
      <c r="D734" t="s">
        <v>3056</v>
      </c>
      <c r="E734" t="s">
        <v>3057</v>
      </c>
      <c r="G734" t="s">
        <v>3058</v>
      </c>
      <c r="H734" t="s">
        <v>3059</v>
      </c>
      <c r="I734">
        <v>107</v>
      </c>
      <c r="J734" t="s">
        <v>3060</v>
      </c>
      <c r="L734" t="s">
        <v>188</v>
      </c>
      <c r="M734" t="s">
        <v>167</v>
      </c>
      <c r="R734" t="s">
        <v>3055</v>
      </c>
      <c r="W734" t="s">
        <v>3057</v>
      </c>
      <c r="X734" t="s">
        <v>3055</v>
      </c>
      <c r="Y734" t="s">
        <v>325</v>
      </c>
      <c r="Z734" t="s">
        <v>110</v>
      </c>
      <c r="AA734" t="str">
        <f>"10035-3108"</f>
        <v>10035-3108</v>
      </c>
      <c r="AB734" t="s">
        <v>191</v>
      </c>
      <c r="AC734" t="s">
        <v>112</v>
      </c>
      <c r="AD734" t="s">
        <v>107</v>
      </c>
      <c r="AE734" t="s">
        <v>113</v>
      </c>
      <c r="AG734" t="s">
        <v>114</v>
      </c>
    </row>
    <row r="735" spans="1:33" x14ac:dyDescent="0.25">
      <c r="A735" t="str">
        <f>"1932225489"</f>
        <v>1932225489</v>
      </c>
      <c r="B735" t="str">
        <f>"03141559"</f>
        <v>03141559</v>
      </c>
      <c r="C735" t="s">
        <v>3061</v>
      </c>
      <c r="D735" t="s">
        <v>3062</v>
      </c>
      <c r="E735" t="s">
        <v>3063</v>
      </c>
      <c r="G735" t="s">
        <v>308</v>
      </c>
      <c r="H735" t="s">
        <v>309</v>
      </c>
      <c r="J735" t="s">
        <v>310</v>
      </c>
      <c r="L735" t="s">
        <v>215</v>
      </c>
      <c r="M735" t="s">
        <v>107</v>
      </c>
      <c r="R735" t="s">
        <v>3061</v>
      </c>
      <c r="W735" t="s">
        <v>3063</v>
      </c>
      <c r="X735" t="s">
        <v>2841</v>
      </c>
      <c r="Y735" t="s">
        <v>325</v>
      </c>
      <c r="Z735" t="s">
        <v>110</v>
      </c>
      <c r="AA735" t="str">
        <f>"10065-4870"</f>
        <v>10065-4870</v>
      </c>
      <c r="AB735" t="s">
        <v>172</v>
      </c>
      <c r="AC735" t="s">
        <v>112</v>
      </c>
      <c r="AD735" t="s">
        <v>107</v>
      </c>
      <c r="AE735" t="s">
        <v>113</v>
      </c>
      <c r="AG735" t="s">
        <v>114</v>
      </c>
    </row>
    <row r="736" spans="1:33" x14ac:dyDescent="0.25">
      <c r="A736" t="str">
        <f>"1457514598"</f>
        <v>1457514598</v>
      </c>
      <c r="B736" t="str">
        <f>"03111566"</f>
        <v>03111566</v>
      </c>
      <c r="C736" t="s">
        <v>3064</v>
      </c>
      <c r="D736" t="s">
        <v>3065</v>
      </c>
      <c r="E736" t="s">
        <v>3066</v>
      </c>
      <c r="G736" t="s">
        <v>308</v>
      </c>
      <c r="H736" t="s">
        <v>309</v>
      </c>
      <c r="J736" t="s">
        <v>310</v>
      </c>
      <c r="L736" t="s">
        <v>215</v>
      </c>
      <c r="M736" t="s">
        <v>167</v>
      </c>
      <c r="R736" t="s">
        <v>3064</v>
      </c>
      <c r="W736" t="s">
        <v>3067</v>
      </c>
      <c r="X736" t="s">
        <v>3068</v>
      </c>
      <c r="Y736" t="s">
        <v>225</v>
      </c>
      <c r="Z736" t="s">
        <v>110</v>
      </c>
      <c r="AA736" t="str">
        <f>"11355-5045"</f>
        <v>11355-5045</v>
      </c>
      <c r="AB736" t="s">
        <v>172</v>
      </c>
      <c r="AC736" t="s">
        <v>112</v>
      </c>
      <c r="AD736" t="s">
        <v>107</v>
      </c>
      <c r="AE736" t="s">
        <v>113</v>
      </c>
      <c r="AG736" t="s">
        <v>114</v>
      </c>
    </row>
    <row r="737" spans="1:33" x14ac:dyDescent="0.25">
      <c r="A737" t="str">
        <f>"1144296120"</f>
        <v>1144296120</v>
      </c>
      <c r="B737" t="str">
        <f>"01745422"</f>
        <v>01745422</v>
      </c>
      <c r="C737" t="s">
        <v>3069</v>
      </c>
      <c r="D737" t="s">
        <v>3070</v>
      </c>
      <c r="E737" t="s">
        <v>3071</v>
      </c>
      <c r="G737" t="s">
        <v>308</v>
      </c>
      <c r="H737" t="s">
        <v>309</v>
      </c>
      <c r="J737" t="s">
        <v>310</v>
      </c>
      <c r="L737" t="s">
        <v>315</v>
      </c>
      <c r="M737" t="s">
        <v>107</v>
      </c>
      <c r="R737" t="s">
        <v>3069</v>
      </c>
      <c r="W737" t="s">
        <v>3071</v>
      </c>
      <c r="X737" t="s">
        <v>3072</v>
      </c>
      <c r="Y737" t="s">
        <v>325</v>
      </c>
      <c r="Z737" t="s">
        <v>110</v>
      </c>
      <c r="AA737" t="str">
        <f>"10029-6542"</f>
        <v>10029-6542</v>
      </c>
      <c r="AB737" t="s">
        <v>172</v>
      </c>
      <c r="AC737" t="s">
        <v>112</v>
      </c>
      <c r="AD737" t="s">
        <v>107</v>
      </c>
      <c r="AE737" t="s">
        <v>113</v>
      </c>
      <c r="AG737" t="s">
        <v>114</v>
      </c>
    </row>
    <row r="738" spans="1:33" x14ac:dyDescent="0.25">
      <c r="A738" t="str">
        <f>"1659515302"</f>
        <v>1659515302</v>
      </c>
      <c r="B738" t="str">
        <f>"03484526"</f>
        <v>03484526</v>
      </c>
      <c r="C738" t="s">
        <v>3073</v>
      </c>
      <c r="D738" t="s">
        <v>3074</v>
      </c>
      <c r="E738" t="s">
        <v>3073</v>
      </c>
      <c r="G738" t="s">
        <v>308</v>
      </c>
      <c r="H738" t="s">
        <v>309</v>
      </c>
      <c r="J738" t="s">
        <v>310</v>
      </c>
      <c r="L738" t="s">
        <v>166</v>
      </c>
      <c r="M738" t="s">
        <v>107</v>
      </c>
      <c r="R738" t="s">
        <v>3073</v>
      </c>
      <c r="W738" t="s">
        <v>3073</v>
      </c>
      <c r="X738" t="s">
        <v>311</v>
      </c>
      <c r="Y738" t="s">
        <v>225</v>
      </c>
      <c r="Z738" t="s">
        <v>110</v>
      </c>
      <c r="AA738" t="str">
        <f>"11355-5045"</f>
        <v>11355-5045</v>
      </c>
      <c r="AB738" t="s">
        <v>172</v>
      </c>
      <c r="AC738" t="s">
        <v>112</v>
      </c>
      <c r="AD738" t="s">
        <v>107</v>
      </c>
      <c r="AE738" t="s">
        <v>113</v>
      </c>
      <c r="AG738" t="s">
        <v>114</v>
      </c>
    </row>
    <row r="739" spans="1:33" x14ac:dyDescent="0.25">
      <c r="A739" t="str">
        <f>"1770500407"</f>
        <v>1770500407</v>
      </c>
      <c r="B739" t="str">
        <f>"02514758"</f>
        <v>02514758</v>
      </c>
      <c r="C739" t="s">
        <v>3075</v>
      </c>
      <c r="D739" t="s">
        <v>3076</v>
      </c>
      <c r="E739" t="s">
        <v>3077</v>
      </c>
      <c r="G739" t="s">
        <v>308</v>
      </c>
      <c r="H739" t="s">
        <v>309</v>
      </c>
      <c r="J739" t="s">
        <v>310</v>
      </c>
      <c r="L739" t="s">
        <v>166</v>
      </c>
      <c r="M739" t="s">
        <v>107</v>
      </c>
      <c r="R739" t="s">
        <v>3075</v>
      </c>
      <c r="W739" t="s">
        <v>3077</v>
      </c>
      <c r="X739" t="s">
        <v>311</v>
      </c>
      <c r="Y739" t="s">
        <v>225</v>
      </c>
      <c r="Z739" t="s">
        <v>110</v>
      </c>
      <c r="AA739" t="str">
        <f>"11355-5045"</f>
        <v>11355-5045</v>
      </c>
      <c r="AB739" t="s">
        <v>172</v>
      </c>
      <c r="AC739" t="s">
        <v>112</v>
      </c>
      <c r="AD739" t="s">
        <v>107</v>
      </c>
      <c r="AE739" t="s">
        <v>113</v>
      </c>
      <c r="AG739" t="s">
        <v>114</v>
      </c>
    </row>
    <row r="740" spans="1:33" x14ac:dyDescent="0.25">
      <c r="A740" t="str">
        <f>"1528201035"</f>
        <v>1528201035</v>
      </c>
      <c r="B740" t="str">
        <f>"03123580"</f>
        <v>03123580</v>
      </c>
      <c r="C740" t="s">
        <v>3078</v>
      </c>
      <c r="D740" t="s">
        <v>3079</v>
      </c>
      <c r="E740" t="s">
        <v>3080</v>
      </c>
      <c r="G740" t="s">
        <v>308</v>
      </c>
      <c r="H740" t="s">
        <v>309</v>
      </c>
      <c r="J740" t="s">
        <v>310</v>
      </c>
      <c r="L740" t="s">
        <v>106</v>
      </c>
      <c r="M740" t="s">
        <v>107</v>
      </c>
      <c r="R740" t="s">
        <v>3078</v>
      </c>
      <c r="W740" t="s">
        <v>3080</v>
      </c>
      <c r="X740" t="s">
        <v>2215</v>
      </c>
      <c r="Y740" t="s">
        <v>647</v>
      </c>
      <c r="Z740" t="s">
        <v>110</v>
      </c>
      <c r="AA740" t="str">
        <f>"11365-1454"</f>
        <v>11365-1454</v>
      </c>
      <c r="AB740" t="s">
        <v>172</v>
      </c>
      <c r="AC740" t="s">
        <v>112</v>
      </c>
      <c r="AD740" t="s">
        <v>107</v>
      </c>
      <c r="AE740" t="s">
        <v>113</v>
      </c>
      <c r="AG740" t="s">
        <v>114</v>
      </c>
    </row>
    <row r="741" spans="1:33" x14ac:dyDescent="0.25">
      <c r="A741" t="str">
        <f>"1912968298"</f>
        <v>1912968298</v>
      </c>
      <c r="B741" t="str">
        <f>"02427085"</f>
        <v>02427085</v>
      </c>
      <c r="C741" t="s">
        <v>3081</v>
      </c>
      <c r="D741" t="s">
        <v>3082</v>
      </c>
      <c r="E741" t="s">
        <v>3083</v>
      </c>
      <c r="G741" t="s">
        <v>308</v>
      </c>
      <c r="H741" t="s">
        <v>309</v>
      </c>
      <c r="J741" t="s">
        <v>310</v>
      </c>
      <c r="L741" t="s">
        <v>215</v>
      </c>
      <c r="M741" t="s">
        <v>107</v>
      </c>
      <c r="R741" t="s">
        <v>3081</v>
      </c>
      <c r="W741" t="s">
        <v>3083</v>
      </c>
      <c r="X741" t="s">
        <v>3084</v>
      </c>
      <c r="Y741" t="s">
        <v>422</v>
      </c>
      <c r="Z741" t="s">
        <v>110</v>
      </c>
      <c r="AA741" t="str">
        <f>"11418"</f>
        <v>11418</v>
      </c>
      <c r="AB741" t="s">
        <v>172</v>
      </c>
      <c r="AC741" t="s">
        <v>112</v>
      </c>
      <c r="AD741" t="s">
        <v>107</v>
      </c>
      <c r="AE741" t="s">
        <v>113</v>
      </c>
      <c r="AG741" t="s">
        <v>114</v>
      </c>
    </row>
    <row r="742" spans="1:33" x14ac:dyDescent="0.25">
      <c r="A742" t="str">
        <f>"1376542217"</f>
        <v>1376542217</v>
      </c>
      <c r="B742" t="str">
        <f>"00923579"</f>
        <v>00923579</v>
      </c>
      <c r="C742" t="s">
        <v>3085</v>
      </c>
      <c r="D742" t="s">
        <v>3086</v>
      </c>
      <c r="E742" t="s">
        <v>3087</v>
      </c>
      <c r="G742" t="s">
        <v>308</v>
      </c>
      <c r="H742" t="s">
        <v>309</v>
      </c>
      <c r="J742" t="s">
        <v>310</v>
      </c>
      <c r="L742" t="s">
        <v>215</v>
      </c>
      <c r="M742" t="s">
        <v>107</v>
      </c>
      <c r="R742" t="s">
        <v>3085</v>
      </c>
      <c r="W742" t="s">
        <v>3087</v>
      </c>
      <c r="X742" t="s">
        <v>3088</v>
      </c>
      <c r="Y742" t="s">
        <v>235</v>
      </c>
      <c r="Z742" t="s">
        <v>110</v>
      </c>
      <c r="AA742" t="str">
        <f>"11361-2580"</f>
        <v>11361-2580</v>
      </c>
      <c r="AB742" t="s">
        <v>172</v>
      </c>
      <c r="AC742" t="s">
        <v>112</v>
      </c>
      <c r="AD742" t="s">
        <v>107</v>
      </c>
      <c r="AE742" t="s">
        <v>113</v>
      </c>
      <c r="AG742" t="s">
        <v>114</v>
      </c>
    </row>
    <row r="743" spans="1:33" x14ac:dyDescent="0.25">
      <c r="A743" t="str">
        <f>"1992723738"</f>
        <v>1992723738</v>
      </c>
      <c r="B743" t="str">
        <f>"00156125"</f>
        <v>00156125</v>
      </c>
      <c r="C743" t="s">
        <v>3089</v>
      </c>
      <c r="D743" t="s">
        <v>3090</v>
      </c>
      <c r="E743" t="s">
        <v>3091</v>
      </c>
      <c r="G743" t="s">
        <v>3092</v>
      </c>
      <c r="H743" t="s">
        <v>3093</v>
      </c>
      <c r="J743" t="s">
        <v>3094</v>
      </c>
      <c r="L743" t="s">
        <v>215</v>
      </c>
      <c r="M743" t="s">
        <v>107</v>
      </c>
      <c r="R743" t="s">
        <v>3089</v>
      </c>
      <c r="W743" t="s">
        <v>3095</v>
      </c>
      <c r="X743" t="s">
        <v>3096</v>
      </c>
      <c r="Y743" t="s">
        <v>183</v>
      </c>
      <c r="Z743" t="s">
        <v>110</v>
      </c>
      <c r="AA743" t="str">
        <f>"10461-3733"</f>
        <v>10461-3733</v>
      </c>
      <c r="AB743" t="s">
        <v>172</v>
      </c>
      <c r="AC743" t="s">
        <v>112</v>
      </c>
      <c r="AD743" t="s">
        <v>107</v>
      </c>
      <c r="AE743" t="s">
        <v>113</v>
      </c>
      <c r="AG743" t="s">
        <v>114</v>
      </c>
    </row>
    <row r="744" spans="1:33" x14ac:dyDescent="0.25">
      <c r="A744" t="str">
        <f>"1346263332"</f>
        <v>1346263332</v>
      </c>
      <c r="B744" t="str">
        <f>"00177528"</f>
        <v>00177528</v>
      </c>
      <c r="C744" t="s">
        <v>3097</v>
      </c>
      <c r="D744" t="s">
        <v>3098</v>
      </c>
      <c r="E744" t="s">
        <v>3099</v>
      </c>
      <c r="G744" t="s">
        <v>3092</v>
      </c>
      <c r="H744" t="s">
        <v>3093</v>
      </c>
      <c r="J744" t="s">
        <v>3094</v>
      </c>
      <c r="L744" t="s">
        <v>215</v>
      </c>
      <c r="M744" t="s">
        <v>107</v>
      </c>
      <c r="R744" t="s">
        <v>3097</v>
      </c>
      <c r="W744" t="s">
        <v>3099</v>
      </c>
      <c r="X744" t="s">
        <v>3096</v>
      </c>
      <c r="Y744" t="s">
        <v>183</v>
      </c>
      <c r="Z744" t="s">
        <v>110</v>
      </c>
      <c r="AA744" t="str">
        <f>"10461-3733"</f>
        <v>10461-3733</v>
      </c>
      <c r="AB744" t="s">
        <v>172</v>
      </c>
      <c r="AC744" t="s">
        <v>112</v>
      </c>
      <c r="AD744" t="s">
        <v>107</v>
      </c>
      <c r="AE744" t="s">
        <v>113</v>
      </c>
      <c r="AG744" t="s">
        <v>114</v>
      </c>
    </row>
    <row r="745" spans="1:33" x14ac:dyDescent="0.25">
      <c r="A745" t="str">
        <f>"1467475962"</f>
        <v>1467475962</v>
      </c>
      <c r="B745" t="str">
        <f>"00314392"</f>
        <v>00314392</v>
      </c>
      <c r="C745" t="s">
        <v>3100</v>
      </c>
      <c r="D745" t="s">
        <v>3101</v>
      </c>
      <c r="E745" t="s">
        <v>3102</v>
      </c>
      <c r="G745" t="s">
        <v>3092</v>
      </c>
      <c r="H745" t="s">
        <v>3093</v>
      </c>
      <c r="J745" t="s">
        <v>3094</v>
      </c>
      <c r="L745" t="s">
        <v>215</v>
      </c>
      <c r="M745" t="s">
        <v>107</v>
      </c>
      <c r="R745" t="s">
        <v>3100</v>
      </c>
      <c r="W745" t="s">
        <v>3102</v>
      </c>
      <c r="X745" t="s">
        <v>3103</v>
      </c>
      <c r="Y745" t="s">
        <v>225</v>
      </c>
      <c r="Z745" t="s">
        <v>110</v>
      </c>
      <c r="AA745" t="str">
        <f>"11354-1096"</f>
        <v>11354-1096</v>
      </c>
      <c r="AB745" t="s">
        <v>172</v>
      </c>
      <c r="AC745" t="s">
        <v>112</v>
      </c>
      <c r="AD745" t="s">
        <v>107</v>
      </c>
      <c r="AE745" t="s">
        <v>113</v>
      </c>
      <c r="AG745" t="s">
        <v>114</v>
      </c>
    </row>
    <row r="746" spans="1:33" x14ac:dyDescent="0.25">
      <c r="A746" t="str">
        <f>"1033132022"</f>
        <v>1033132022</v>
      </c>
      <c r="B746" t="str">
        <f>"00796649"</f>
        <v>00796649</v>
      </c>
      <c r="C746" t="s">
        <v>3104</v>
      </c>
      <c r="D746" t="s">
        <v>3105</v>
      </c>
      <c r="E746" t="s">
        <v>3106</v>
      </c>
      <c r="G746" t="s">
        <v>3092</v>
      </c>
      <c r="H746" t="s">
        <v>3093</v>
      </c>
      <c r="J746" t="s">
        <v>3094</v>
      </c>
      <c r="L746" t="s">
        <v>215</v>
      </c>
      <c r="M746" t="s">
        <v>107</v>
      </c>
      <c r="R746" t="s">
        <v>3104</v>
      </c>
      <c r="W746" t="s">
        <v>3107</v>
      </c>
      <c r="X746" t="s">
        <v>3096</v>
      </c>
      <c r="Y746" t="s">
        <v>183</v>
      </c>
      <c r="Z746" t="s">
        <v>110</v>
      </c>
      <c r="AA746" t="str">
        <f>"10461-3733"</f>
        <v>10461-3733</v>
      </c>
      <c r="AB746" t="s">
        <v>172</v>
      </c>
      <c r="AC746" t="s">
        <v>112</v>
      </c>
      <c r="AD746" t="s">
        <v>107</v>
      </c>
      <c r="AE746" t="s">
        <v>113</v>
      </c>
      <c r="AG746" t="s">
        <v>114</v>
      </c>
    </row>
    <row r="747" spans="1:33" x14ac:dyDescent="0.25">
      <c r="A747" t="str">
        <f>"1598926909"</f>
        <v>1598926909</v>
      </c>
      <c r="B747" t="str">
        <f>"02112545"</f>
        <v>02112545</v>
      </c>
      <c r="C747" t="s">
        <v>3108</v>
      </c>
      <c r="D747" t="s">
        <v>3109</v>
      </c>
      <c r="E747" t="s">
        <v>3110</v>
      </c>
      <c r="G747" t="s">
        <v>195</v>
      </c>
      <c r="H747" t="s">
        <v>196</v>
      </c>
      <c r="J747" t="s">
        <v>197</v>
      </c>
      <c r="L747" t="s">
        <v>166</v>
      </c>
      <c r="M747" t="s">
        <v>167</v>
      </c>
      <c r="R747" t="s">
        <v>3108</v>
      </c>
      <c r="W747" t="s">
        <v>3110</v>
      </c>
      <c r="X747" t="s">
        <v>3111</v>
      </c>
      <c r="Y747" t="s">
        <v>183</v>
      </c>
      <c r="Z747" t="s">
        <v>110</v>
      </c>
      <c r="AA747" t="str">
        <f>"10462-4104"</f>
        <v>10462-4104</v>
      </c>
      <c r="AB747" t="s">
        <v>172</v>
      </c>
      <c r="AC747" t="s">
        <v>112</v>
      </c>
      <c r="AD747" t="s">
        <v>107</v>
      </c>
      <c r="AE747" t="s">
        <v>113</v>
      </c>
      <c r="AG747" t="s">
        <v>114</v>
      </c>
    </row>
    <row r="748" spans="1:33" x14ac:dyDescent="0.25">
      <c r="A748" t="str">
        <f>"1629274972"</f>
        <v>1629274972</v>
      </c>
      <c r="B748" t="str">
        <f>"02996601"</f>
        <v>02996601</v>
      </c>
      <c r="C748" t="s">
        <v>3112</v>
      </c>
      <c r="D748" t="s">
        <v>3113</v>
      </c>
      <c r="E748" t="s">
        <v>3114</v>
      </c>
      <c r="G748" t="s">
        <v>997</v>
      </c>
      <c r="H748" t="s">
        <v>998</v>
      </c>
      <c r="I748">
        <v>5736</v>
      </c>
      <c r="J748" t="s">
        <v>999</v>
      </c>
      <c r="L748" t="s">
        <v>3115</v>
      </c>
      <c r="M748" t="s">
        <v>167</v>
      </c>
      <c r="R748" t="s">
        <v>3116</v>
      </c>
      <c r="W748" t="s">
        <v>3117</v>
      </c>
      <c r="X748" t="s">
        <v>3118</v>
      </c>
      <c r="Y748" t="s">
        <v>422</v>
      </c>
      <c r="Z748" t="s">
        <v>110</v>
      </c>
      <c r="AA748" t="str">
        <f>"11432-6113"</f>
        <v>11432-6113</v>
      </c>
      <c r="AB748" t="s">
        <v>184</v>
      </c>
      <c r="AC748" t="s">
        <v>112</v>
      </c>
      <c r="AD748" t="s">
        <v>107</v>
      </c>
      <c r="AE748" t="s">
        <v>113</v>
      </c>
      <c r="AG748" t="s">
        <v>114</v>
      </c>
    </row>
    <row r="749" spans="1:33" x14ac:dyDescent="0.25">
      <c r="A749" t="str">
        <f>"1962829549"</f>
        <v>1962829549</v>
      </c>
      <c r="C749" t="s">
        <v>3119</v>
      </c>
      <c r="G749" t="s">
        <v>273</v>
      </c>
      <c r="H749" t="s">
        <v>274</v>
      </c>
      <c r="J749" t="s">
        <v>275</v>
      </c>
      <c r="K749" t="s">
        <v>276</v>
      </c>
      <c r="L749" t="s">
        <v>106</v>
      </c>
      <c r="M749" t="s">
        <v>107</v>
      </c>
      <c r="R749" t="s">
        <v>3119</v>
      </c>
      <c r="S749" t="s">
        <v>3120</v>
      </c>
      <c r="T749" t="s">
        <v>3121</v>
      </c>
      <c r="U749" t="s">
        <v>110</v>
      </c>
      <c r="V749" t="str">
        <f>"11377"</f>
        <v>11377</v>
      </c>
      <c r="AC749" t="s">
        <v>112</v>
      </c>
      <c r="AD749" t="s">
        <v>107</v>
      </c>
      <c r="AE749" t="s">
        <v>278</v>
      </c>
      <c r="AG749" t="s">
        <v>114</v>
      </c>
    </row>
    <row r="750" spans="1:33" x14ac:dyDescent="0.25">
      <c r="A750" t="str">
        <f>"1639165459"</f>
        <v>1639165459</v>
      </c>
      <c r="B750" t="str">
        <f>"03009794"</f>
        <v>03009794</v>
      </c>
      <c r="C750" t="s">
        <v>3122</v>
      </c>
      <c r="D750" t="s">
        <v>3123</v>
      </c>
      <c r="E750" t="s">
        <v>3122</v>
      </c>
      <c r="G750" t="s">
        <v>3124</v>
      </c>
      <c r="H750" t="s">
        <v>3125</v>
      </c>
      <c r="I750">
        <v>1001</v>
      </c>
      <c r="J750" t="s">
        <v>3126</v>
      </c>
      <c r="L750" t="s">
        <v>1612</v>
      </c>
      <c r="M750" t="s">
        <v>107</v>
      </c>
      <c r="R750" t="s">
        <v>3122</v>
      </c>
      <c r="W750" t="s">
        <v>3122</v>
      </c>
      <c r="X750" t="s">
        <v>3127</v>
      </c>
      <c r="Y750" t="s">
        <v>399</v>
      </c>
      <c r="Z750" t="s">
        <v>110</v>
      </c>
      <c r="AA750" t="str">
        <f>"11040-4927"</f>
        <v>11040-4927</v>
      </c>
      <c r="AB750" t="s">
        <v>1614</v>
      </c>
      <c r="AC750" t="s">
        <v>112</v>
      </c>
      <c r="AD750" t="s">
        <v>107</v>
      </c>
      <c r="AE750" t="s">
        <v>113</v>
      </c>
      <c r="AG750" t="s">
        <v>114</v>
      </c>
    </row>
    <row r="751" spans="1:33" x14ac:dyDescent="0.25">
      <c r="A751" t="str">
        <f>"1114130291"</f>
        <v>1114130291</v>
      </c>
      <c r="B751" t="str">
        <f>"01815512"</f>
        <v>01815512</v>
      </c>
      <c r="C751" t="s">
        <v>3122</v>
      </c>
      <c r="D751" t="s">
        <v>3123</v>
      </c>
      <c r="E751" t="s">
        <v>3122</v>
      </c>
      <c r="G751" t="s">
        <v>3124</v>
      </c>
      <c r="H751" t="s">
        <v>3125</v>
      </c>
      <c r="I751">
        <v>1001</v>
      </c>
      <c r="J751" t="s">
        <v>3126</v>
      </c>
      <c r="L751" t="s">
        <v>1612</v>
      </c>
      <c r="M751" t="s">
        <v>107</v>
      </c>
      <c r="R751" t="s">
        <v>3122</v>
      </c>
      <c r="W751" t="s">
        <v>3122</v>
      </c>
      <c r="X751" t="s">
        <v>3127</v>
      </c>
      <c r="Y751" t="s">
        <v>399</v>
      </c>
      <c r="Z751" t="s">
        <v>110</v>
      </c>
      <c r="AA751" t="str">
        <f>"11040-4927"</f>
        <v>11040-4927</v>
      </c>
      <c r="AB751" t="s">
        <v>1614</v>
      </c>
      <c r="AC751" t="s">
        <v>112</v>
      </c>
      <c r="AD751" t="s">
        <v>107</v>
      </c>
      <c r="AE751" t="s">
        <v>113</v>
      </c>
      <c r="AG751" t="s">
        <v>114</v>
      </c>
    </row>
    <row r="752" spans="1:33" x14ac:dyDescent="0.25">
      <c r="A752" t="str">
        <f>"1164847786"</f>
        <v>1164847786</v>
      </c>
      <c r="B752" t="str">
        <f>"03818260"</f>
        <v>03818260</v>
      </c>
      <c r="C752" t="s">
        <v>3128</v>
      </c>
      <c r="D752" t="s">
        <v>3129</v>
      </c>
      <c r="E752" t="s">
        <v>3130</v>
      </c>
      <c r="G752" t="s">
        <v>212</v>
      </c>
      <c r="H752" t="s">
        <v>213</v>
      </c>
      <c r="J752" t="s">
        <v>214</v>
      </c>
      <c r="L752" t="s">
        <v>166</v>
      </c>
      <c r="M752" t="s">
        <v>107</v>
      </c>
      <c r="R752" t="s">
        <v>3128</v>
      </c>
      <c r="W752" t="s">
        <v>3130</v>
      </c>
      <c r="X752" t="s">
        <v>286</v>
      </c>
      <c r="Y752" t="s">
        <v>183</v>
      </c>
      <c r="Z752" t="s">
        <v>110</v>
      </c>
      <c r="AA752" t="str">
        <f>"10459-3204"</f>
        <v>10459-3204</v>
      </c>
      <c r="AB752" t="s">
        <v>172</v>
      </c>
      <c r="AC752" t="s">
        <v>112</v>
      </c>
      <c r="AD752" t="s">
        <v>107</v>
      </c>
      <c r="AE752" t="s">
        <v>113</v>
      </c>
      <c r="AG752" t="s">
        <v>114</v>
      </c>
    </row>
    <row r="753" spans="1:33" x14ac:dyDescent="0.25">
      <c r="A753" t="str">
        <f>"1770810863"</f>
        <v>1770810863</v>
      </c>
      <c r="C753" t="s">
        <v>3131</v>
      </c>
      <c r="G753" t="s">
        <v>869</v>
      </c>
      <c r="H753" t="s">
        <v>870</v>
      </c>
      <c r="J753" t="s">
        <v>871</v>
      </c>
      <c r="K753" t="s">
        <v>1616</v>
      </c>
      <c r="L753" t="s">
        <v>373</v>
      </c>
      <c r="M753" t="s">
        <v>167</v>
      </c>
      <c r="R753" t="s">
        <v>3131</v>
      </c>
      <c r="S753" t="s">
        <v>3132</v>
      </c>
      <c r="T753" t="s">
        <v>880</v>
      </c>
      <c r="U753" t="s">
        <v>110</v>
      </c>
      <c r="V753" t="str">
        <f>"113691230"</f>
        <v>113691230</v>
      </c>
      <c r="AC753" t="s">
        <v>112</v>
      </c>
      <c r="AD753" t="s">
        <v>107</v>
      </c>
      <c r="AE753" t="s">
        <v>278</v>
      </c>
      <c r="AG753" t="s">
        <v>114</v>
      </c>
    </row>
    <row r="754" spans="1:33" x14ac:dyDescent="0.25">
      <c r="A754" t="str">
        <f>"1912179763"</f>
        <v>1912179763</v>
      </c>
      <c r="B754" t="str">
        <f>"00890813"</f>
        <v>00890813</v>
      </c>
      <c r="C754" t="s">
        <v>3133</v>
      </c>
      <c r="D754" t="s">
        <v>3134</v>
      </c>
      <c r="E754" t="s">
        <v>3135</v>
      </c>
      <c r="G754" t="s">
        <v>3136</v>
      </c>
      <c r="H754" t="s">
        <v>3137</v>
      </c>
      <c r="J754" t="s">
        <v>3138</v>
      </c>
      <c r="L754" t="s">
        <v>67</v>
      </c>
      <c r="M754" t="s">
        <v>167</v>
      </c>
      <c r="R754" t="s">
        <v>3135</v>
      </c>
      <c r="W754" t="s">
        <v>3135</v>
      </c>
      <c r="X754" t="s">
        <v>3139</v>
      </c>
      <c r="Y754" t="s">
        <v>183</v>
      </c>
      <c r="Z754" t="s">
        <v>110</v>
      </c>
      <c r="AA754" t="str">
        <f>"10470-1104"</f>
        <v>10470-1104</v>
      </c>
      <c r="AB754" t="s">
        <v>184</v>
      </c>
      <c r="AC754" t="s">
        <v>112</v>
      </c>
      <c r="AD754" t="s">
        <v>107</v>
      </c>
      <c r="AE754" t="s">
        <v>113</v>
      </c>
      <c r="AG754" t="s">
        <v>114</v>
      </c>
    </row>
    <row r="755" spans="1:33" x14ac:dyDescent="0.25">
      <c r="A755" t="str">
        <f>"1770513145"</f>
        <v>1770513145</v>
      </c>
      <c r="B755" t="str">
        <f>"03007930"</f>
        <v>03007930</v>
      </c>
      <c r="C755" t="s">
        <v>3140</v>
      </c>
      <c r="D755" t="s">
        <v>3141</v>
      </c>
      <c r="E755" t="s">
        <v>3142</v>
      </c>
      <c r="G755" t="s">
        <v>3143</v>
      </c>
      <c r="H755" t="s">
        <v>3144</v>
      </c>
      <c r="J755" t="s">
        <v>3145</v>
      </c>
      <c r="L755" t="s">
        <v>67</v>
      </c>
      <c r="M755" t="s">
        <v>167</v>
      </c>
      <c r="R755" t="s">
        <v>3146</v>
      </c>
      <c r="W755" t="s">
        <v>3142</v>
      </c>
      <c r="X755" t="s">
        <v>3147</v>
      </c>
      <c r="Y755" t="s">
        <v>240</v>
      </c>
      <c r="Z755" t="s">
        <v>110</v>
      </c>
      <c r="AA755" t="str">
        <f>"11234-6435"</f>
        <v>11234-6435</v>
      </c>
      <c r="AB755" t="s">
        <v>546</v>
      </c>
      <c r="AC755" t="s">
        <v>112</v>
      </c>
      <c r="AD755" t="s">
        <v>107</v>
      </c>
      <c r="AE755" t="s">
        <v>113</v>
      </c>
      <c r="AG755" t="s">
        <v>114</v>
      </c>
    </row>
    <row r="756" spans="1:33" x14ac:dyDescent="0.25">
      <c r="A756" t="str">
        <f>"1295766103"</f>
        <v>1295766103</v>
      </c>
      <c r="B756" t="str">
        <f>"01399797"</f>
        <v>01399797</v>
      </c>
      <c r="C756" t="s">
        <v>3140</v>
      </c>
      <c r="D756" t="s">
        <v>3141</v>
      </c>
      <c r="E756" t="s">
        <v>3142</v>
      </c>
      <c r="G756" t="s">
        <v>3143</v>
      </c>
      <c r="H756" t="s">
        <v>3144</v>
      </c>
      <c r="J756" t="s">
        <v>3145</v>
      </c>
      <c r="L756" t="s">
        <v>67</v>
      </c>
      <c r="M756" t="s">
        <v>167</v>
      </c>
      <c r="R756" t="s">
        <v>3146</v>
      </c>
      <c r="W756" t="s">
        <v>3142</v>
      </c>
      <c r="X756" t="s">
        <v>3147</v>
      </c>
      <c r="Y756" t="s">
        <v>240</v>
      </c>
      <c r="Z756" t="s">
        <v>110</v>
      </c>
      <c r="AA756" t="str">
        <f>"11234-6435"</f>
        <v>11234-6435</v>
      </c>
      <c r="AB756" t="s">
        <v>546</v>
      </c>
      <c r="AC756" t="s">
        <v>112</v>
      </c>
      <c r="AD756" t="s">
        <v>107</v>
      </c>
      <c r="AE756" t="s">
        <v>113</v>
      </c>
      <c r="AG756" t="s">
        <v>114</v>
      </c>
    </row>
    <row r="757" spans="1:33" x14ac:dyDescent="0.25">
      <c r="A757" t="str">
        <f>"1003911645"</f>
        <v>1003911645</v>
      </c>
      <c r="B757" t="str">
        <f>"01644311"</f>
        <v>01644311</v>
      </c>
      <c r="C757" t="s">
        <v>3148</v>
      </c>
      <c r="D757" t="s">
        <v>3149</v>
      </c>
      <c r="E757" t="s">
        <v>3150</v>
      </c>
      <c r="G757" t="s">
        <v>203</v>
      </c>
      <c r="H757" t="s">
        <v>204</v>
      </c>
      <c r="J757" t="s">
        <v>205</v>
      </c>
      <c r="L757" t="s">
        <v>166</v>
      </c>
      <c r="M757" t="s">
        <v>107</v>
      </c>
      <c r="R757" t="s">
        <v>3148</v>
      </c>
      <c r="W757" t="s">
        <v>3150</v>
      </c>
      <c r="X757" t="s">
        <v>3151</v>
      </c>
      <c r="Y757" t="s">
        <v>225</v>
      </c>
      <c r="Z757" t="s">
        <v>110</v>
      </c>
      <c r="AA757" t="str">
        <f>"11366-1922"</f>
        <v>11366-1922</v>
      </c>
      <c r="AB757" t="s">
        <v>172</v>
      </c>
      <c r="AC757" t="s">
        <v>112</v>
      </c>
      <c r="AD757" t="s">
        <v>107</v>
      </c>
      <c r="AE757" t="s">
        <v>113</v>
      </c>
      <c r="AG757" t="s">
        <v>114</v>
      </c>
    </row>
    <row r="758" spans="1:33" x14ac:dyDescent="0.25">
      <c r="A758" t="str">
        <f>"1174781009"</f>
        <v>1174781009</v>
      </c>
      <c r="B758" t="str">
        <f>"03153546"</f>
        <v>03153546</v>
      </c>
      <c r="C758" t="s">
        <v>3152</v>
      </c>
      <c r="D758" t="s">
        <v>3153</v>
      </c>
      <c r="E758" t="s">
        <v>3154</v>
      </c>
      <c r="G758" t="s">
        <v>212</v>
      </c>
      <c r="H758" t="s">
        <v>213</v>
      </c>
      <c r="J758" t="s">
        <v>214</v>
      </c>
      <c r="L758" t="s">
        <v>166</v>
      </c>
      <c r="M758" t="s">
        <v>167</v>
      </c>
      <c r="R758" t="s">
        <v>3152</v>
      </c>
      <c r="W758" t="s">
        <v>3154</v>
      </c>
      <c r="X758" t="s">
        <v>3155</v>
      </c>
      <c r="Y758" t="s">
        <v>325</v>
      </c>
      <c r="Z758" t="s">
        <v>110</v>
      </c>
      <c r="AA758" t="str">
        <f>"10065-4870"</f>
        <v>10065-4870</v>
      </c>
      <c r="AB758" t="s">
        <v>172</v>
      </c>
      <c r="AC758" t="s">
        <v>112</v>
      </c>
      <c r="AD758" t="s">
        <v>107</v>
      </c>
      <c r="AE758" t="s">
        <v>113</v>
      </c>
      <c r="AG758" t="s">
        <v>114</v>
      </c>
    </row>
    <row r="759" spans="1:33" x14ac:dyDescent="0.25">
      <c r="A759" t="str">
        <f>"1669459673"</f>
        <v>1669459673</v>
      </c>
      <c r="B759" t="str">
        <f>"03758367"</f>
        <v>03758367</v>
      </c>
      <c r="C759" t="s">
        <v>3156</v>
      </c>
      <c r="D759" t="s">
        <v>3157</v>
      </c>
      <c r="E759" t="s">
        <v>3158</v>
      </c>
      <c r="G759" t="s">
        <v>394</v>
      </c>
      <c r="H759" t="s">
        <v>395</v>
      </c>
      <c r="J759" t="s">
        <v>396</v>
      </c>
      <c r="L759" t="s">
        <v>106</v>
      </c>
      <c r="M759" t="s">
        <v>107</v>
      </c>
      <c r="R759" t="s">
        <v>3156</v>
      </c>
      <c r="W759" t="s">
        <v>3158</v>
      </c>
      <c r="X759" t="s">
        <v>398</v>
      </c>
      <c r="Y759" t="s">
        <v>399</v>
      </c>
      <c r="Z759" t="s">
        <v>110</v>
      </c>
      <c r="AA759" t="str">
        <f>"11040-1436"</f>
        <v>11040-1436</v>
      </c>
      <c r="AB759" t="s">
        <v>172</v>
      </c>
      <c r="AC759" t="s">
        <v>112</v>
      </c>
      <c r="AD759" t="s">
        <v>107</v>
      </c>
      <c r="AE759" t="s">
        <v>113</v>
      </c>
      <c r="AG759" t="s">
        <v>114</v>
      </c>
    </row>
    <row r="760" spans="1:33" x14ac:dyDescent="0.25">
      <c r="A760" t="str">
        <f>"1972865772"</f>
        <v>1972865772</v>
      </c>
      <c r="B760" t="str">
        <f>"03484833"</f>
        <v>03484833</v>
      </c>
      <c r="C760" t="s">
        <v>3159</v>
      </c>
      <c r="D760" t="s">
        <v>3160</v>
      </c>
      <c r="E760" t="s">
        <v>3161</v>
      </c>
      <c r="G760" t="s">
        <v>212</v>
      </c>
      <c r="H760" t="s">
        <v>213</v>
      </c>
      <c r="J760" t="s">
        <v>214</v>
      </c>
      <c r="L760" t="s">
        <v>166</v>
      </c>
      <c r="M760" t="s">
        <v>167</v>
      </c>
      <c r="R760" t="s">
        <v>3159</v>
      </c>
      <c r="W760" t="s">
        <v>3161</v>
      </c>
      <c r="X760" t="s">
        <v>1289</v>
      </c>
      <c r="Y760" t="s">
        <v>240</v>
      </c>
      <c r="Z760" t="s">
        <v>110</v>
      </c>
      <c r="AA760" t="str">
        <f>"11225-5417"</f>
        <v>11225-5417</v>
      </c>
      <c r="AB760" t="s">
        <v>172</v>
      </c>
      <c r="AC760" t="s">
        <v>112</v>
      </c>
      <c r="AD760" t="s">
        <v>107</v>
      </c>
      <c r="AE760" t="s">
        <v>113</v>
      </c>
      <c r="AG760" t="s">
        <v>114</v>
      </c>
    </row>
    <row r="761" spans="1:33" x14ac:dyDescent="0.25">
      <c r="A761" t="str">
        <f>"1346389384"</f>
        <v>1346389384</v>
      </c>
      <c r="B761" t="str">
        <f>"01145808"</f>
        <v>01145808</v>
      </c>
      <c r="C761" t="s">
        <v>864</v>
      </c>
      <c r="D761" t="s">
        <v>3162</v>
      </c>
      <c r="E761" t="s">
        <v>3163</v>
      </c>
      <c r="F761">
        <v>111679599</v>
      </c>
      <c r="G761" t="s">
        <v>229</v>
      </c>
      <c r="H761" t="s">
        <v>230</v>
      </c>
      <c r="J761" t="s">
        <v>231</v>
      </c>
      <c r="L761" t="s">
        <v>67</v>
      </c>
      <c r="M761" t="s">
        <v>107</v>
      </c>
      <c r="R761" t="s">
        <v>864</v>
      </c>
      <c r="W761" t="s">
        <v>3163</v>
      </c>
      <c r="X761" t="s">
        <v>234</v>
      </c>
      <c r="Y761" t="s">
        <v>235</v>
      </c>
      <c r="Z761" t="s">
        <v>110</v>
      </c>
      <c r="AA761" t="str">
        <f>"11360-2810"</f>
        <v>11360-2810</v>
      </c>
      <c r="AB761" t="s">
        <v>546</v>
      </c>
      <c r="AC761" t="s">
        <v>112</v>
      </c>
      <c r="AD761" t="s">
        <v>107</v>
      </c>
      <c r="AE761" t="s">
        <v>113</v>
      </c>
      <c r="AG761" t="s">
        <v>114</v>
      </c>
    </row>
    <row r="762" spans="1:33" x14ac:dyDescent="0.25">
      <c r="A762" t="str">
        <f>"1174533913"</f>
        <v>1174533913</v>
      </c>
      <c r="B762" t="str">
        <f>"02560281"</f>
        <v>02560281</v>
      </c>
      <c r="C762" t="s">
        <v>3164</v>
      </c>
      <c r="D762" t="s">
        <v>3165</v>
      </c>
      <c r="E762" t="s">
        <v>3166</v>
      </c>
      <c r="G762" t="s">
        <v>289</v>
      </c>
      <c r="H762" t="s">
        <v>290</v>
      </c>
      <c r="J762" t="s">
        <v>291</v>
      </c>
      <c r="L762" t="s">
        <v>166</v>
      </c>
      <c r="M762" t="s">
        <v>107</v>
      </c>
      <c r="R762" t="s">
        <v>3164</v>
      </c>
      <c r="W762" t="s">
        <v>3166</v>
      </c>
      <c r="X762" t="s">
        <v>3167</v>
      </c>
      <c r="Y762" t="s">
        <v>240</v>
      </c>
      <c r="Z762" t="s">
        <v>110</v>
      </c>
      <c r="AA762" t="str">
        <f>"11213-1122"</f>
        <v>11213-1122</v>
      </c>
      <c r="AB762" t="s">
        <v>172</v>
      </c>
      <c r="AC762" t="s">
        <v>112</v>
      </c>
      <c r="AD762" t="s">
        <v>107</v>
      </c>
      <c r="AE762" t="s">
        <v>113</v>
      </c>
      <c r="AG762" t="s">
        <v>114</v>
      </c>
    </row>
    <row r="763" spans="1:33" x14ac:dyDescent="0.25">
      <c r="A763" t="str">
        <f>"1861577298"</f>
        <v>1861577298</v>
      </c>
      <c r="B763" t="str">
        <f>"00708609"</f>
        <v>00708609</v>
      </c>
      <c r="C763" t="s">
        <v>3168</v>
      </c>
      <c r="D763" t="s">
        <v>3169</v>
      </c>
      <c r="E763" t="s">
        <v>3170</v>
      </c>
      <c r="G763" t="s">
        <v>289</v>
      </c>
      <c r="H763" t="s">
        <v>290</v>
      </c>
      <c r="J763" t="s">
        <v>291</v>
      </c>
      <c r="L763" t="s">
        <v>106</v>
      </c>
      <c r="M763" t="s">
        <v>167</v>
      </c>
      <c r="R763" t="s">
        <v>3168</v>
      </c>
      <c r="W763" t="s">
        <v>3170</v>
      </c>
      <c r="X763" t="s">
        <v>3171</v>
      </c>
      <c r="Y763" t="s">
        <v>422</v>
      </c>
      <c r="Z763" t="s">
        <v>110</v>
      </c>
      <c r="AA763" t="str">
        <f>"11418"</f>
        <v>11418</v>
      </c>
      <c r="AB763" t="s">
        <v>172</v>
      </c>
      <c r="AC763" t="s">
        <v>112</v>
      </c>
      <c r="AD763" t="s">
        <v>107</v>
      </c>
      <c r="AE763" t="s">
        <v>113</v>
      </c>
      <c r="AG763" t="s">
        <v>114</v>
      </c>
    </row>
    <row r="764" spans="1:33" x14ac:dyDescent="0.25">
      <c r="A764" t="str">
        <f>"1710932926"</f>
        <v>1710932926</v>
      </c>
      <c r="B764" t="str">
        <f>"02288571"</f>
        <v>02288571</v>
      </c>
      <c r="C764" t="s">
        <v>3172</v>
      </c>
      <c r="D764" t="s">
        <v>3173</v>
      </c>
      <c r="E764" t="s">
        <v>3174</v>
      </c>
      <c r="G764" t="s">
        <v>289</v>
      </c>
      <c r="H764" t="s">
        <v>290</v>
      </c>
      <c r="J764" t="s">
        <v>291</v>
      </c>
      <c r="L764" t="s">
        <v>2082</v>
      </c>
      <c r="M764" t="s">
        <v>107</v>
      </c>
      <c r="R764" t="s">
        <v>3172</v>
      </c>
      <c r="W764" t="s">
        <v>3174</v>
      </c>
      <c r="X764" t="s">
        <v>3175</v>
      </c>
      <c r="Y764" t="s">
        <v>109</v>
      </c>
      <c r="Z764" t="s">
        <v>110</v>
      </c>
      <c r="AA764" t="str">
        <f>"11374-3206"</f>
        <v>11374-3206</v>
      </c>
      <c r="AB764" t="s">
        <v>172</v>
      </c>
      <c r="AC764" t="s">
        <v>112</v>
      </c>
      <c r="AD764" t="s">
        <v>107</v>
      </c>
      <c r="AE764" t="s">
        <v>113</v>
      </c>
      <c r="AG764" t="s">
        <v>114</v>
      </c>
    </row>
    <row r="765" spans="1:33" x14ac:dyDescent="0.25">
      <c r="A765" t="str">
        <f>"1477620466"</f>
        <v>1477620466</v>
      </c>
      <c r="B765" t="str">
        <f>"02904983"</f>
        <v>02904983</v>
      </c>
      <c r="C765" t="s">
        <v>3176</v>
      </c>
      <c r="D765" t="s">
        <v>3177</v>
      </c>
      <c r="E765" t="s">
        <v>3176</v>
      </c>
      <c r="G765" t="s">
        <v>289</v>
      </c>
      <c r="H765" t="s">
        <v>290</v>
      </c>
      <c r="J765" t="s">
        <v>291</v>
      </c>
      <c r="L765" t="s">
        <v>117</v>
      </c>
      <c r="M765" t="s">
        <v>107</v>
      </c>
      <c r="R765" t="s">
        <v>3176</v>
      </c>
      <c r="W765" t="s">
        <v>3176</v>
      </c>
      <c r="X765" t="s">
        <v>610</v>
      </c>
      <c r="Y765" t="s">
        <v>240</v>
      </c>
      <c r="Z765" t="s">
        <v>110</v>
      </c>
      <c r="AA765" t="str">
        <f>"11203-2054"</f>
        <v>11203-2054</v>
      </c>
      <c r="AB765" t="s">
        <v>172</v>
      </c>
      <c r="AC765" t="s">
        <v>112</v>
      </c>
      <c r="AD765" t="s">
        <v>107</v>
      </c>
      <c r="AE765" t="s">
        <v>113</v>
      </c>
      <c r="AG765" t="s">
        <v>114</v>
      </c>
    </row>
    <row r="766" spans="1:33" x14ac:dyDescent="0.25">
      <c r="A766" t="str">
        <f>"1578716486"</f>
        <v>1578716486</v>
      </c>
      <c r="B766" t="str">
        <f>"02576227"</f>
        <v>02576227</v>
      </c>
      <c r="C766" t="s">
        <v>3178</v>
      </c>
      <c r="D766" t="s">
        <v>3179</v>
      </c>
      <c r="E766" t="s">
        <v>3180</v>
      </c>
      <c r="G766" t="s">
        <v>289</v>
      </c>
      <c r="H766" t="s">
        <v>290</v>
      </c>
      <c r="J766" t="s">
        <v>291</v>
      </c>
      <c r="L766" t="s">
        <v>106</v>
      </c>
      <c r="M766" t="s">
        <v>107</v>
      </c>
      <c r="R766" t="s">
        <v>3178</v>
      </c>
      <c r="W766" t="s">
        <v>3180</v>
      </c>
      <c r="X766" t="s">
        <v>808</v>
      </c>
      <c r="Y766" t="s">
        <v>422</v>
      </c>
      <c r="Z766" t="s">
        <v>110</v>
      </c>
      <c r="AA766" t="str">
        <f>"11432-2744"</f>
        <v>11432-2744</v>
      </c>
      <c r="AB766" t="s">
        <v>172</v>
      </c>
      <c r="AC766" t="s">
        <v>112</v>
      </c>
      <c r="AD766" t="s">
        <v>107</v>
      </c>
      <c r="AE766" t="s">
        <v>113</v>
      </c>
      <c r="AG766" t="s">
        <v>114</v>
      </c>
    </row>
    <row r="767" spans="1:33" x14ac:dyDescent="0.25">
      <c r="A767" t="str">
        <f>"1063436798"</f>
        <v>1063436798</v>
      </c>
      <c r="B767" t="str">
        <f>"02267527"</f>
        <v>02267527</v>
      </c>
      <c r="C767" t="s">
        <v>3181</v>
      </c>
      <c r="D767" t="s">
        <v>3182</v>
      </c>
      <c r="E767" t="s">
        <v>3183</v>
      </c>
      <c r="G767" t="s">
        <v>289</v>
      </c>
      <c r="H767" t="s">
        <v>290</v>
      </c>
      <c r="J767" t="s">
        <v>291</v>
      </c>
      <c r="L767" t="s">
        <v>514</v>
      </c>
      <c r="M767" t="s">
        <v>107</v>
      </c>
      <c r="R767" t="s">
        <v>3181</v>
      </c>
      <c r="W767" t="s">
        <v>3183</v>
      </c>
      <c r="X767" t="s">
        <v>3184</v>
      </c>
      <c r="Y767" t="s">
        <v>1210</v>
      </c>
      <c r="Z767" t="s">
        <v>110</v>
      </c>
      <c r="AA767" t="str">
        <f>"11021-5305"</f>
        <v>11021-5305</v>
      </c>
      <c r="AB767" t="s">
        <v>172</v>
      </c>
      <c r="AC767" t="s">
        <v>112</v>
      </c>
      <c r="AD767" t="s">
        <v>107</v>
      </c>
      <c r="AE767" t="s">
        <v>113</v>
      </c>
      <c r="AG767" t="s">
        <v>114</v>
      </c>
    </row>
    <row r="768" spans="1:33" x14ac:dyDescent="0.25">
      <c r="A768" t="str">
        <f>"1568490076"</f>
        <v>1568490076</v>
      </c>
      <c r="B768" t="str">
        <f>"01776163"</f>
        <v>01776163</v>
      </c>
      <c r="C768" t="s">
        <v>3185</v>
      </c>
      <c r="D768" t="s">
        <v>3186</v>
      </c>
      <c r="E768" t="s">
        <v>3187</v>
      </c>
      <c r="G768" t="s">
        <v>289</v>
      </c>
      <c r="H768" t="s">
        <v>290</v>
      </c>
      <c r="J768" t="s">
        <v>291</v>
      </c>
      <c r="L768" t="s">
        <v>166</v>
      </c>
      <c r="M768" t="s">
        <v>107</v>
      </c>
      <c r="R768" t="s">
        <v>3185</v>
      </c>
      <c r="W768" t="s">
        <v>3187</v>
      </c>
      <c r="X768" t="s">
        <v>3188</v>
      </c>
      <c r="Y768" t="s">
        <v>399</v>
      </c>
      <c r="Z768" t="s">
        <v>110</v>
      </c>
      <c r="AA768" t="str">
        <f>"11040-1811"</f>
        <v>11040-1811</v>
      </c>
      <c r="AB768" t="s">
        <v>172</v>
      </c>
      <c r="AC768" t="s">
        <v>112</v>
      </c>
      <c r="AD768" t="s">
        <v>107</v>
      </c>
      <c r="AE768" t="s">
        <v>113</v>
      </c>
      <c r="AG768" t="s">
        <v>114</v>
      </c>
    </row>
    <row r="769" spans="1:33" x14ac:dyDescent="0.25">
      <c r="A769" t="str">
        <f>"1548301534"</f>
        <v>1548301534</v>
      </c>
      <c r="B769" t="str">
        <f>"02900347"</f>
        <v>02900347</v>
      </c>
      <c r="C769" t="s">
        <v>3189</v>
      </c>
      <c r="D769" t="s">
        <v>3190</v>
      </c>
      <c r="E769" t="s">
        <v>3191</v>
      </c>
      <c r="G769" t="s">
        <v>289</v>
      </c>
      <c r="H769" t="s">
        <v>290</v>
      </c>
      <c r="J769" t="s">
        <v>291</v>
      </c>
      <c r="L769" t="s">
        <v>106</v>
      </c>
      <c r="M769" t="s">
        <v>107</v>
      </c>
      <c r="R769" t="s">
        <v>3189</v>
      </c>
      <c r="W769" t="s">
        <v>3191</v>
      </c>
      <c r="X769" t="s">
        <v>3192</v>
      </c>
      <c r="Y769" t="s">
        <v>325</v>
      </c>
      <c r="Z769" t="s">
        <v>110</v>
      </c>
      <c r="AA769" t="str">
        <f>"10025-1737"</f>
        <v>10025-1737</v>
      </c>
      <c r="AB769" t="s">
        <v>172</v>
      </c>
      <c r="AC769" t="s">
        <v>112</v>
      </c>
      <c r="AD769" t="s">
        <v>107</v>
      </c>
      <c r="AE769" t="s">
        <v>113</v>
      </c>
      <c r="AG769" t="s">
        <v>114</v>
      </c>
    </row>
    <row r="770" spans="1:33" x14ac:dyDescent="0.25">
      <c r="A770" t="str">
        <f>"1093923559"</f>
        <v>1093923559</v>
      </c>
      <c r="B770" t="str">
        <f>"02349099"</f>
        <v>02349099</v>
      </c>
      <c r="C770" t="s">
        <v>3193</v>
      </c>
      <c r="D770" t="s">
        <v>3194</v>
      </c>
      <c r="E770" t="s">
        <v>3195</v>
      </c>
      <c r="G770" t="s">
        <v>289</v>
      </c>
      <c r="H770" t="s">
        <v>290</v>
      </c>
      <c r="J770" t="s">
        <v>291</v>
      </c>
      <c r="L770" t="s">
        <v>315</v>
      </c>
      <c r="M770" t="s">
        <v>107</v>
      </c>
      <c r="R770" t="s">
        <v>3193</v>
      </c>
      <c r="W770" t="s">
        <v>3195</v>
      </c>
      <c r="X770" t="s">
        <v>3196</v>
      </c>
      <c r="Y770" t="s">
        <v>2772</v>
      </c>
      <c r="Z770" t="s">
        <v>110</v>
      </c>
      <c r="AA770" t="str">
        <f>"11435-2930"</f>
        <v>11435-2930</v>
      </c>
      <c r="AB770" t="s">
        <v>172</v>
      </c>
      <c r="AC770" t="s">
        <v>112</v>
      </c>
      <c r="AD770" t="s">
        <v>107</v>
      </c>
      <c r="AE770" t="s">
        <v>113</v>
      </c>
      <c r="AG770" t="s">
        <v>114</v>
      </c>
    </row>
    <row r="771" spans="1:33" x14ac:dyDescent="0.25">
      <c r="A771" t="str">
        <f>"1942352885"</f>
        <v>1942352885</v>
      </c>
      <c r="B771" t="str">
        <f>"01115571"</f>
        <v>01115571</v>
      </c>
      <c r="C771" t="s">
        <v>3197</v>
      </c>
      <c r="D771" t="s">
        <v>3198</v>
      </c>
      <c r="E771" t="s">
        <v>3199</v>
      </c>
      <c r="G771" t="s">
        <v>289</v>
      </c>
      <c r="H771" t="s">
        <v>290</v>
      </c>
      <c r="J771" t="s">
        <v>291</v>
      </c>
      <c r="L771" t="s">
        <v>373</v>
      </c>
      <c r="M771" t="s">
        <v>107</v>
      </c>
      <c r="R771" t="s">
        <v>3197</v>
      </c>
      <c r="W771" t="s">
        <v>3200</v>
      </c>
      <c r="X771" t="s">
        <v>3201</v>
      </c>
      <c r="Y771" t="s">
        <v>481</v>
      </c>
      <c r="Z771" t="s">
        <v>110</v>
      </c>
      <c r="AA771" t="str">
        <f>"11427-2128"</f>
        <v>11427-2128</v>
      </c>
      <c r="AB771" t="s">
        <v>172</v>
      </c>
      <c r="AC771" t="s">
        <v>112</v>
      </c>
      <c r="AD771" t="s">
        <v>107</v>
      </c>
      <c r="AE771" t="s">
        <v>113</v>
      </c>
      <c r="AG771" t="s">
        <v>114</v>
      </c>
    </row>
    <row r="772" spans="1:33" x14ac:dyDescent="0.25">
      <c r="A772" t="str">
        <f>"1649352345"</f>
        <v>1649352345</v>
      </c>
      <c r="B772" t="str">
        <f>"03707628"</f>
        <v>03707628</v>
      </c>
      <c r="C772" t="s">
        <v>3202</v>
      </c>
      <c r="D772" t="s">
        <v>3203</v>
      </c>
      <c r="E772" t="s">
        <v>3204</v>
      </c>
      <c r="G772" t="s">
        <v>289</v>
      </c>
      <c r="H772" t="s">
        <v>290</v>
      </c>
      <c r="J772" t="s">
        <v>291</v>
      </c>
      <c r="L772" t="s">
        <v>373</v>
      </c>
      <c r="M772" t="s">
        <v>107</v>
      </c>
      <c r="R772" t="s">
        <v>3202</v>
      </c>
      <c r="W772" t="s">
        <v>3205</v>
      </c>
      <c r="X772" t="s">
        <v>619</v>
      </c>
      <c r="Y772" t="s">
        <v>481</v>
      </c>
      <c r="Z772" t="s">
        <v>110</v>
      </c>
      <c r="AA772" t="str">
        <f>"11427-2128"</f>
        <v>11427-2128</v>
      </c>
      <c r="AB772" t="s">
        <v>172</v>
      </c>
      <c r="AC772" t="s">
        <v>112</v>
      </c>
      <c r="AD772" t="s">
        <v>107</v>
      </c>
      <c r="AE772" t="s">
        <v>113</v>
      </c>
      <c r="AG772" t="s">
        <v>114</v>
      </c>
    </row>
    <row r="773" spans="1:33" x14ac:dyDescent="0.25">
      <c r="A773" t="str">
        <f>"1477683761"</f>
        <v>1477683761</v>
      </c>
      <c r="B773" t="str">
        <f>"03403087"</f>
        <v>03403087</v>
      </c>
      <c r="C773" t="s">
        <v>3206</v>
      </c>
      <c r="D773" t="s">
        <v>3207</v>
      </c>
      <c r="E773" t="s">
        <v>3208</v>
      </c>
      <c r="G773" t="s">
        <v>289</v>
      </c>
      <c r="H773" t="s">
        <v>290</v>
      </c>
      <c r="J773" t="s">
        <v>291</v>
      </c>
      <c r="L773" t="s">
        <v>106</v>
      </c>
      <c r="M773" t="s">
        <v>107</v>
      </c>
      <c r="R773" t="s">
        <v>3206</v>
      </c>
      <c r="W773" t="s">
        <v>3208</v>
      </c>
      <c r="X773" t="s">
        <v>619</v>
      </c>
      <c r="Y773" t="s">
        <v>481</v>
      </c>
      <c r="Z773" t="s">
        <v>110</v>
      </c>
      <c r="AA773" t="str">
        <f>"11427-2128"</f>
        <v>11427-2128</v>
      </c>
      <c r="AB773" t="s">
        <v>172</v>
      </c>
      <c r="AC773" t="s">
        <v>112</v>
      </c>
      <c r="AD773" t="s">
        <v>107</v>
      </c>
      <c r="AE773" t="s">
        <v>113</v>
      </c>
      <c r="AG773" t="s">
        <v>114</v>
      </c>
    </row>
    <row r="774" spans="1:33" x14ac:dyDescent="0.25">
      <c r="A774" t="str">
        <f>"1679506745"</f>
        <v>1679506745</v>
      </c>
      <c r="B774" t="str">
        <f>"00939340"</f>
        <v>00939340</v>
      </c>
      <c r="C774" t="s">
        <v>3209</v>
      </c>
      <c r="D774" t="s">
        <v>3210</v>
      </c>
      <c r="E774" t="s">
        <v>3211</v>
      </c>
      <c r="G774" t="s">
        <v>289</v>
      </c>
      <c r="H774" t="s">
        <v>290</v>
      </c>
      <c r="J774" t="s">
        <v>291</v>
      </c>
      <c r="L774" t="s">
        <v>117</v>
      </c>
      <c r="M774" t="s">
        <v>107</v>
      </c>
      <c r="R774" t="s">
        <v>3209</v>
      </c>
      <c r="W774" t="s">
        <v>3212</v>
      </c>
      <c r="X774" t="s">
        <v>3213</v>
      </c>
      <c r="Y774" t="s">
        <v>481</v>
      </c>
      <c r="Z774" t="s">
        <v>110</v>
      </c>
      <c r="AA774" t="str">
        <f>"11427-2128"</f>
        <v>11427-2128</v>
      </c>
      <c r="AB774" t="s">
        <v>172</v>
      </c>
      <c r="AC774" t="s">
        <v>112</v>
      </c>
      <c r="AD774" t="s">
        <v>107</v>
      </c>
      <c r="AE774" t="s">
        <v>113</v>
      </c>
      <c r="AG774" t="s">
        <v>114</v>
      </c>
    </row>
    <row r="775" spans="1:33" x14ac:dyDescent="0.25">
      <c r="A775" t="str">
        <f>"1164436424"</f>
        <v>1164436424</v>
      </c>
      <c r="B775" t="str">
        <f>"01947671"</f>
        <v>01947671</v>
      </c>
      <c r="C775" t="s">
        <v>3214</v>
      </c>
      <c r="D775" t="s">
        <v>3215</v>
      </c>
      <c r="E775" t="s">
        <v>3216</v>
      </c>
      <c r="G775" t="s">
        <v>289</v>
      </c>
      <c r="H775" t="s">
        <v>290</v>
      </c>
      <c r="J775" t="s">
        <v>291</v>
      </c>
      <c r="L775" t="s">
        <v>215</v>
      </c>
      <c r="M775" t="s">
        <v>167</v>
      </c>
      <c r="R775" t="s">
        <v>3214</v>
      </c>
      <c r="W775" t="s">
        <v>3216</v>
      </c>
      <c r="X775" t="s">
        <v>3217</v>
      </c>
      <c r="Y775" t="s">
        <v>1006</v>
      </c>
      <c r="Z775" t="s">
        <v>110</v>
      </c>
      <c r="AA775" t="str">
        <f>"10310-1664"</f>
        <v>10310-1664</v>
      </c>
      <c r="AB775" t="s">
        <v>172</v>
      </c>
      <c r="AC775" t="s">
        <v>112</v>
      </c>
      <c r="AD775" t="s">
        <v>107</v>
      </c>
      <c r="AE775" t="s">
        <v>113</v>
      </c>
      <c r="AG775" t="s">
        <v>114</v>
      </c>
    </row>
    <row r="776" spans="1:33" x14ac:dyDescent="0.25">
      <c r="A776" t="str">
        <f>"1649204959"</f>
        <v>1649204959</v>
      </c>
      <c r="B776" t="str">
        <f>"02849998"</f>
        <v>02849998</v>
      </c>
      <c r="C776" t="s">
        <v>3218</v>
      </c>
      <c r="D776" t="s">
        <v>3219</v>
      </c>
      <c r="E776" t="s">
        <v>3220</v>
      </c>
      <c r="G776" t="s">
        <v>402</v>
      </c>
      <c r="H776" t="s">
        <v>403</v>
      </c>
      <c r="J776" t="s">
        <v>404</v>
      </c>
      <c r="L776" t="s">
        <v>166</v>
      </c>
      <c r="M776" t="s">
        <v>107</v>
      </c>
      <c r="R776" t="s">
        <v>3218</v>
      </c>
      <c r="W776" t="s">
        <v>3220</v>
      </c>
      <c r="X776" t="s">
        <v>3221</v>
      </c>
      <c r="Y776" t="s">
        <v>240</v>
      </c>
      <c r="Z776" t="s">
        <v>110</v>
      </c>
      <c r="AA776" t="str">
        <f>"11226-1317"</f>
        <v>11226-1317</v>
      </c>
      <c r="AB776" t="s">
        <v>172</v>
      </c>
      <c r="AC776" t="s">
        <v>112</v>
      </c>
      <c r="AD776" t="s">
        <v>107</v>
      </c>
      <c r="AE776" t="s">
        <v>113</v>
      </c>
      <c r="AG776" t="s">
        <v>114</v>
      </c>
    </row>
    <row r="777" spans="1:33" x14ac:dyDescent="0.25">
      <c r="A777" t="str">
        <f>"1316046451"</f>
        <v>1316046451</v>
      </c>
      <c r="B777" t="str">
        <f>"01646982"</f>
        <v>01646982</v>
      </c>
      <c r="C777" t="s">
        <v>3222</v>
      </c>
      <c r="D777" t="s">
        <v>3223</v>
      </c>
      <c r="E777" t="s">
        <v>3224</v>
      </c>
      <c r="G777" t="s">
        <v>378</v>
      </c>
      <c r="H777" t="s">
        <v>379</v>
      </c>
      <c r="I777">
        <v>203</v>
      </c>
      <c r="J777" t="s">
        <v>380</v>
      </c>
      <c r="L777" t="s">
        <v>315</v>
      </c>
      <c r="M777" t="s">
        <v>167</v>
      </c>
      <c r="R777" t="s">
        <v>3222</v>
      </c>
      <c r="W777" t="s">
        <v>3224</v>
      </c>
      <c r="X777" t="s">
        <v>3225</v>
      </c>
      <c r="Y777" t="s">
        <v>225</v>
      </c>
      <c r="Z777" t="s">
        <v>110</v>
      </c>
      <c r="AA777" t="str">
        <f>"11355-2205"</f>
        <v>11355-2205</v>
      </c>
      <c r="AB777" t="s">
        <v>172</v>
      </c>
      <c r="AC777" t="s">
        <v>112</v>
      </c>
      <c r="AD777" t="s">
        <v>107</v>
      </c>
      <c r="AE777" t="s">
        <v>113</v>
      </c>
      <c r="AG777" t="s">
        <v>114</v>
      </c>
    </row>
    <row r="778" spans="1:33" x14ac:dyDescent="0.25">
      <c r="B778" t="str">
        <f>"00321811"</f>
        <v>00321811</v>
      </c>
      <c r="C778" t="s">
        <v>3226</v>
      </c>
      <c r="D778" t="s">
        <v>3227</v>
      </c>
      <c r="E778" t="s">
        <v>3228</v>
      </c>
      <c r="G778" t="s">
        <v>3229</v>
      </c>
      <c r="H778" t="s">
        <v>3230</v>
      </c>
      <c r="J778" t="s">
        <v>3231</v>
      </c>
      <c r="L778" t="s">
        <v>3232</v>
      </c>
      <c r="M778" t="s">
        <v>167</v>
      </c>
      <c r="W778" t="s">
        <v>3226</v>
      </c>
      <c r="X778" t="s">
        <v>3233</v>
      </c>
      <c r="Y778" t="s">
        <v>325</v>
      </c>
      <c r="Z778" t="s">
        <v>110</v>
      </c>
      <c r="AA778" t="str">
        <f>"10021-5006"</f>
        <v>10021-5006</v>
      </c>
      <c r="AB778" t="s">
        <v>546</v>
      </c>
      <c r="AC778" t="s">
        <v>112</v>
      </c>
      <c r="AD778" t="s">
        <v>107</v>
      </c>
      <c r="AE778" t="s">
        <v>113</v>
      </c>
      <c r="AG778" t="s">
        <v>114</v>
      </c>
    </row>
    <row r="779" spans="1:33" x14ac:dyDescent="0.25">
      <c r="A779" t="str">
        <f>"1528059805"</f>
        <v>1528059805</v>
      </c>
      <c r="B779" t="str">
        <f>"02996041"</f>
        <v>02996041</v>
      </c>
      <c r="C779" t="s">
        <v>3234</v>
      </c>
      <c r="D779" t="s">
        <v>3227</v>
      </c>
      <c r="E779" t="s">
        <v>3228</v>
      </c>
      <c r="G779" t="s">
        <v>3229</v>
      </c>
      <c r="H779" t="s">
        <v>3230</v>
      </c>
      <c r="J779" t="s">
        <v>3231</v>
      </c>
      <c r="L779" t="s">
        <v>3232</v>
      </c>
      <c r="M779" t="s">
        <v>167</v>
      </c>
      <c r="R779" t="s">
        <v>3235</v>
      </c>
      <c r="W779" t="s">
        <v>3236</v>
      </c>
      <c r="X779" t="s">
        <v>3237</v>
      </c>
      <c r="Y779" t="s">
        <v>183</v>
      </c>
      <c r="Z779" t="s">
        <v>110</v>
      </c>
      <c r="AA779" t="str">
        <f>"10455-1307"</f>
        <v>10455-1307</v>
      </c>
      <c r="AB779" t="s">
        <v>184</v>
      </c>
      <c r="AC779" t="s">
        <v>112</v>
      </c>
      <c r="AD779" t="s">
        <v>107</v>
      </c>
      <c r="AE779" t="s">
        <v>113</v>
      </c>
      <c r="AG779" t="s">
        <v>114</v>
      </c>
    </row>
    <row r="780" spans="1:33" x14ac:dyDescent="0.25">
      <c r="A780" t="str">
        <f>"1215928510"</f>
        <v>1215928510</v>
      </c>
      <c r="B780" t="str">
        <f>"01049476"</f>
        <v>01049476</v>
      </c>
      <c r="C780" t="s">
        <v>3238</v>
      </c>
      <c r="D780" t="s">
        <v>3239</v>
      </c>
      <c r="E780" t="s">
        <v>3240</v>
      </c>
      <c r="G780" t="s">
        <v>3229</v>
      </c>
      <c r="H780" t="s">
        <v>3230</v>
      </c>
      <c r="J780" t="s">
        <v>3231</v>
      </c>
      <c r="L780" t="s">
        <v>1293</v>
      </c>
      <c r="M780" t="s">
        <v>107</v>
      </c>
      <c r="R780" t="s">
        <v>3241</v>
      </c>
      <c r="W780" t="s">
        <v>3240</v>
      </c>
      <c r="X780" t="s">
        <v>3242</v>
      </c>
      <c r="Y780" t="s">
        <v>325</v>
      </c>
      <c r="Z780" t="s">
        <v>110</v>
      </c>
      <c r="AA780" t="str">
        <f>"10001-3701"</f>
        <v>10001-3701</v>
      </c>
      <c r="AB780" t="s">
        <v>191</v>
      </c>
      <c r="AC780" t="s">
        <v>112</v>
      </c>
      <c r="AD780" t="s">
        <v>107</v>
      </c>
      <c r="AE780" t="s">
        <v>113</v>
      </c>
      <c r="AG780" t="s">
        <v>114</v>
      </c>
    </row>
    <row r="781" spans="1:33" x14ac:dyDescent="0.25">
      <c r="A781" t="str">
        <f>"1467560656"</f>
        <v>1467560656</v>
      </c>
      <c r="B781" t="str">
        <f>"01807496"</f>
        <v>01807496</v>
      </c>
      <c r="C781" t="s">
        <v>3243</v>
      </c>
      <c r="D781" t="s">
        <v>3244</v>
      </c>
      <c r="E781" t="s">
        <v>3245</v>
      </c>
      <c r="G781" t="s">
        <v>465</v>
      </c>
      <c r="H781" t="s">
        <v>466</v>
      </c>
      <c r="J781" t="s">
        <v>467</v>
      </c>
      <c r="L781" t="s">
        <v>166</v>
      </c>
      <c r="M781" t="s">
        <v>107</v>
      </c>
      <c r="R781" t="s">
        <v>3243</v>
      </c>
      <c r="W781" t="s">
        <v>3245</v>
      </c>
      <c r="X781" t="s">
        <v>1261</v>
      </c>
      <c r="Y781" t="s">
        <v>200</v>
      </c>
      <c r="Z781" t="s">
        <v>110</v>
      </c>
      <c r="AA781" t="str">
        <f>"11372-3054"</f>
        <v>11372-3054</v>
      </c>
      <c r="AB781" t="s">
        <v>172</v>
      </c>
      <c r="AC781" t="s">
        <v>112</v>
      </c>
      <c r="AD781" t="s">
        <v>107</v>
      </c>
      <c r="AE781" t="s">
        <v>113</v>
      </c>
      <c r="AG781" t="s">
        <v>114</v>
      </c>
    </row>
    <row r="782" spans="1:33" x14ac:dyDescent="0.25">
      <c r="A782" t="str">
        <f>"1689694630"</f>
        <v>1689694630</v>
      </c>
      <c r="B782" t="str">
        <f>"01873174"</f>
        <v>01873174</v>
      </c>
      <c r="C782" t="s">
        <v>3246</v>
      </c>
      <c r="D782" t="s">
        <v>3247</v>
      </c>
      <c r="E782" t="s">
        <v>3248</v>
      </c>
      <c r="G782" t="s">
        <v>195</v>
      </c>
      <c r="H782" t="s">
        <v>196</v>
      </c>
      <c r="J782" t="s">
        <v>197</v>
      </c>
      <c r="L782" t="s">
        <v>106</v>
      </c>
      <c r="M782" t="s">
        <v>107</v>
      </c>
      <c r="R782" t="s">
        <v>3246</v>
      </c>
      <c r="W782" t="s">
        <v>3248</v>
      </c>
      <c r="X782" t="s">
        <v>2455</v>
      </c>
      <c r="Y782" t="s">
        <v>240</v>
      </c>
      <c r="Z782" t="s">
        <v>110</v>
      </c>
      <c r="AA782" t="str">
        <f>"11237-4006"</f>
        <v>11237-4006</v>
      </c>
      <c r="AB782" t="s">
        <v>326</v>
      </c>
      <c r="AC782" t="s">
        <v>112</v>
      </c>
      <c r="AD782" t="s">
        <v>107</v>
      </c>
      <c r="AE782" t="s">
        <v>113</v>
      </c>
      <c r="AG782" t="s">
        <v>114</v>
      </c>
    </row>
    <row r="783" spans="1:33" x14ac:dyDescent="0.25">
      <c r="A783" t="str">
        <f>"1811072929"</f>
        <v>1811072929</v>
      </c>
      <c r="B783" t="str">
        <f>"00309302"</f>
        <v>00309302</v>
      </c>
      <c r="C783" t="s">
        <v>3249</v>
      </c>
      <c r="D783" t="s">
        <v>3250</v>
      </c>
      <c r="E783" t="s">
        <v>3251</v>
      </c>
      <c r="G783" t="s">
        <v>3252</v>
      </c>
      <c r="H783" t="s">
        <v>252</v>
      </c>
      <c r="I783">
        <v>215</v>
      </c>
      <c r="J783" t="s">
        <v>253</v>
      </c>
      <c r="L783" t="s">
        <v>405</v>
      </c>
      <c r="M783" t="s">
        <v>167</v>
      </c>
      <c r="R783" t="s">
        <v>3253</v>
      </c>
      <c r="W783" t="s">
        <v>3254</v>
      </c>
      <c r="X783" t="s">
        <v>3255</v>
      </c>
      <c r="Y783" t="s">
        <v>225</v>
      </c>
      <c r="Z783" t="s">
        <v>110</v>
      </c>
      <c r="AA783" t="str">
        <f>"11354-1011"</f>
        <v>11354-1011</v>
      </c>
      <c r="AB783" t="s">
        <v>408</v>
      </c>
      <c r="AC783" t="s">
        <v>112</v>
      </c>
      <c r="AD783" t="s">
        <v>107</v>
      </c>
      <c r="AE783" t="s">
        <v>113</v>
      </c>
      <c r="AG783" t="s">
        <v>114</v>
      </c>
    </row>
    <row r="784" spans="1:33" x14ac:dyDescent="0.25">
      <c r="A784" t="str">
        <f>"1083735500"</f>
        <v>1083735500</v>
      </c>
      <c r="B784" t="str">
        <f>"02351568"</f>
        <v>02351568</v>
      </c>
      <c r="C784" t="s">
        <v>3256</v>
      </c>
      <c r="D784" t="s">
        <v>3257</v>
      </c>
      <c r="E784" t="s">
        <v>3258</v>
      </c>
      <c r="G784" t="s">
        <v>212</v>
      </c>
      <c r="H784" t="s">
        <v>213</v>
      </c>
      <c r="J784" t="s">
        <v>214</v>
      </c>
      <c r="L784" t="s">
        <v>215</v>
      </c>
      <c r="M784" t="s">
        <v>167</v>
      </c>
      <c r="R784" t="s">
        <v>3256</v>
      </c>
      <c r="W784" t="s">
        <v>3258</v>
      </c>
      <c r="X784" t="s">
        <v>3259</v>
      </c>
      <c r="Y784" t="s">
        <v>325</v>
      </c>
      <c r="Z784" t="s">
        <v>110</v>
      </c>
      <c r="AA784" t="str">
        <f>"10034-6001"</f>
        <v>10034-6001</v>
      </c>
      <c r="AB784" t="s">
        <v>1044</v>
      </c>
      <c r="AC784" t="s">
        <v>112</v>
      </c>
      <c r="AD784" t="s">
        <v>107</v>
      </c>
      <c r="AE784" t="s">
        <v>113</v>
      </c>
      <c r="AG784" t="s">
        <v>114</v>
      </c>
    </row>
    <row r="785" spans="1:33" x14ac:dyDescent="0.25">
      <c r="A785" t="str">
        <f>"1265511752"</f>
        <v>1265511752</v>
      </c>
      <c r="B785" t="str">
        <f>"01599215"</f>
        <v>01599215</v>
      </c>
      <c r="C785" t="s">
        <v>3260</v>
      </c>
      <c r="D785" t="s">
        <v>3261</v>
      </c>
      <c r="E785" t="s">
        <v>3262</v>
      </c>
      <c r="G785" t="s">
        <v>402</v>
      </c>
      <c r="H785" t="s">
        <v>403</v>
      </c>
      <c r="J785" t="s">
        <v>404</v>
      </c>
      <c r="L785" t="s">
        <v>166</v>
      </c>
      <c r="M785" t="s">
        <v>167</v>
      </c>
      <c r="R785" t="s">
        <v>3260</v>
      </c>
      <c r="W785" t="s">
        <v>3262</v>
      </c>
      <c r="X785" t="s">
        <v>3263</v>
      </c>
      <c r="Y785" t="s">
        <v>207</v>
      </c>
      <c r="Z785" t="s">
        <v>110</v>
      </c>
      <c r="AA785" t="str">
        <f>"11375"</f>
        <v>11375</v>
      </c>
      <c r="AB785" t="s">
        <v>172</v>
      </c>
      <c r="AC785" t="s">
        <v>112</v>
      </c>
      <c r="AD785" t="s">
        <v>107</v>
      </c>
      <c r="AE785" t="s">
        <v>113</v>
      </c>
      <c r="AG785" t="s">
        <v>114</v>
      </c>
    </row>
    <row r="786" spans="1:33" x14ac:dyDescent="0.25">
      <c r="A786" t="str">
        <f>"1275576811"</f>
        <v>1275576811</v>
      </c>
      <c r="B786" t="str">
        <f>"00812226"</f>
        <v>00812226</v>
      </c>
      <c r="C786" t="s">
        <v>3264</v>
      </c>
      <c r="D786" t="s">
        <v>3265</v>
      </c>
      <c r="E786" t="s">
        <v>3266</v>
      </c>
      <c r="G786" t="s">
        <v>251</v>
      </c>
      <c r="H786" t="s">
        <v>252</v>
      </c>
      <c r="I786">
        <v>215</v>
      </c>
      <c r="J786" t="s">
        <v>253</v>
      </c>
      <c r="L786" t="s">
        <v>215</v>
      </c>
      <c r="M786" t="s">
        <v>167</v>
      </c>
      <c r="R786" t="s">
        <v>3264</v>
      </c>
      <c r="W786" t="s">
        <v>3266</v>
      </c>
      <c r="X786" t="s">
        <v>3267</v>
      </c>
      <c r="Y786" t="s">
        <v>240</v>
      </c>
      <c r="Z786" t="s">
        <v>110</v>
      </c>
      <c r="AA786" t="str">
        <f>"11235-6951"</f>
        <v>11235-6951</v>
      </c>
      <c r="AB786" t="s">
        <v>172</v>
      </c>
      <c r="AC786" t="s">
        <v>112</v>
      </c>
      <c r="AD786" t="s">
        <v>107</v>
      </c>
      <c r="AE786" t="s">
        <v>113</v>
      </c>
      <c r="AG786" t="s">
        <v>114</v>
      </c>
    </row>
    <row r="787" spans="1:33" x14ac:dyDescent="0.25">
      <c r="A787" t="str">
        <f>"1053350579"</f>
        <v>1053350579</v>
      </c>
      <c r="B787" t="str">
        <f>"02682084"</f>
        <v>02682084</v>
      </c>
      <c r="C787" t="s">
        <v>3268</v>
      </c>
      <c r="D787" t="s">
        <v>3269</v>
      </c>
      <c r="E787" t="s">
        <v>3270</v>
      </c>
      <c r="G787" t="s">
        <v>212</v>
      </c>
      <c r="H787" t="s">
        <v>213</v>
      </c>
      <c r="J787" t="s">
        <v>214</v>
      </c>
      <c r="L787" t="s">
        <v>166</v>
      </c>
      <c r="M787" t="s">
        <v>167</v>
      </c>
      <c r="R787" t="s">
        <v>3268</v>
      </c>
      <c r="W787" t="s">
        <v>3270</v>
      </c>
      <c r="X787" t="s">
        <v>3271</v>
      </c>
      <c r="Y787" t="s">
        <v>356</v>
      </c>
      <c r="Z787" t="s">
        <v>110</v>
      </c>
      <c r="AA787" t="str">
        <f>"10701-1301"</f>
        <v>10701-1301</v>
      </c>
      <c r="AB787" t="s">
        <v>172</v>
      </c>
      <c r="AC787" t="s">
        <v>112</v>
      </c>
      <c r="AD787" t="s">
        <v>107</v>
      </c>
      <c r="AE787" t="s">
        <v>113</v>
      </c>
      <c r="AG787" t="s">
        <v>114</v>
      </c>
    </row>
    <row r="788" spans="1:33" x14ac:dyDescent="0.25">
      <c r="A788" t="str">
        <f>"1013950351"</f>
        <v>1013950351</v>
      </c>
      <c r="B788" t="str">
        <f>"01133357"</f>
        <v>01133357</v>
      </c>
      <c r="C788" t="s">
        <v>3272</v>
      </c>
      <c r="D788" t="s">
        <v>3273</v>
      </c>
      <c r="E788" t="s">
        <v>3274</v>
      </c>
      <c r="G788" t="s">
        <v>736</v>
      </c>
      <c r="H788" t="s">
        <v>737</v>
      </c>
      <c r="I788">
        <v>1108</v>
      </c>
      <c r="J788" t="s">
        <v>738</v>
      </c>
      <c r="L788" t="s">
        <v>215</v>
      </c>
      <c r="M788" t="s">
        <v>167</v>
      </c>
      <c r="R788" t="s">
        <v>3272</v>
      </c>
      <c r="W788" t="s">
        <v>3275</v>
      </c>
      <c r="X788" t="s">
        <v>3276</v>
      </c>
      <c r="Y788" t="s">
        <v>325</v>
      </c>
      <c r="Z788" t="s">
        <v>110</v>
      </c>
      <c r="AA788" t="str">
        <f>"10003-4201"</f>
        <v>10003-4201</v>
      </c>
      <c r="AB788" t="s">
        <v>172</v>
      </c>
      <c r="AC788" t="s">
        <v>112</v>
      </c>
      <c r="AD788" t="s">
        <v>107</v>
      </c>
      <c r="AE788" t="s">
        <v>113</v>
      </c>
      <c r="AG788" t="s">
        <v>114</v>
      </c>
    </row>
    <row r="789" spans="1:33" x14ac:dyDescent="0.25">
      <c r="A789" t="str">
        <f>"1457370835"</f>
        <v>1457370835</v>
      </c>
      <c r="B789" t="str">
        <f>"00589780"</f>
        <v>00589780</v>
      </c>
      <c r="C789" t="s">
        <v>3277</v>
      </c>
      <c r="D789" t="s">
        <v>3278</v>
      </c>
      <c r="E789" t="s">
        <v>3279</v>
      </c>
      <c r="G789" t="s">
        <v>203</v>
      </c>
      <c r="H789" t="s">
        <v>204</v>
      </c>
      <c r="J789" t="s">
        <v>205</v>
      </c>
      <c r="L789" t="s">
        <v>215</v>
      </c>
      <c r="M789" t="s">
        <v>107</v>
      </c>
      <c r="R789" t="s">
        <v>3277</v>
      </c>
      <c r="W789" t="s">
        <v>3279</v>
      </c>
      <c r="X789" t="s">
        <v>370</v>
      </c>
      <c r="Y789" t="s">
        <v>240</v>
      </c>
      <c r="Z789" t="s">
        <v>110</v>
      </c>
      <c r="AA789" t="str">
        <f>"11234-5139"</f>
        <v>11234-5139</v>
      </c>
      <c r="AB789" t="s">
        <v>172</v>
      </c>
      <c r="AC789" t="s">
        <v>112</v>
      </c>
      <c r="AD789" t="s">
        <v>107</v>
      </c>
      <c r="AE789" t="s">
        <v>113</v>
      </c>
      <c r="AG789" t="s">
        <v>114</v>
      </c>
    </row>
    <row r="790" spans="1:33" x14ac:dyDescent="0.25">
      <c r="A790" t="str">
        <f>"1821356494"</f>
        <v>1821356494</v>
      </c>
      <c r="B790" t="str">
        <f>"03484026"</f>
        <v>03484026</v>
      </c>
      <c r="C790" t="s">
        <v>3280</v>
      </c>
      <c r="D790" t="s">
        <v>3281</v>
      </c>
      <c r="E790" t="s">
        <v>3280</v>
      </c>
      <c r="G790" t="s">
        <v>212</v>
      </c>
      <c r="H790" t="s">
        <v>213</v>
      </c>
      <c r="J790" t="s">
        <v>214</v>
      </c>
      <c r="L790" t="s">
        <v>166</v>
      </c>
      <c r="M790" t="s">
        <v>167</v>
      </c>
      <c r="R790" t="s">
        <v>3282</v>
      </c>
      <c r="W790" t="s">
        <v>3282</v>
      </c>
      <c r="X790" t="s">
        <v>2014</v>
      </c>
      <c r="Y790" t="s">
        <v>325</v>
      </c>
      <c r="Z790" t="s">
        <v>110</v>
      </c>
      <c r="AA790" t="str">
        <f>"10032-5058"</f>
        <v>10032-5058</v>
      </c>
      <c r="AB790" t="s">
        <v>172</v>
      </c>
      <c r="AC790" t="s">
        <v>112</v>
      </c>
      <c r="AD790" t="s">
        <v>107</v>
      </c>
      <c r="AE790" t="s">
        <v>113</v>
      </c>
      <c r="AG790" t="s">
        <v>114</v>
      </c>
    </row>
    <row r="791" spans="1:33" x14ac:dyDescent="0.25">
      <c r="A791" t="str">
        <f>"1891800355"</f>
        <v>1891800355</v>
      </c>
      <c r="B791" t="str">
        <f>"02621754"</f>
        <v>02621754</v>
      </c>
      <c r="C791" t="s">
        <v>3283</v>
      </c>
      <c r="D791" t="s">
        <v>3284</v>
      </c>
      <c r="E791" t="s">
        <v>3285</v>
      </c>
      <c r="G791" t="s">
        <v>251</v>
      </c>
      <c r="H791" t="s">
        <v>252</v>
      </c>
      <c r="I791">
        <v>215</v>
      </c>
      <c r="J791" t="s">
        <v>253</v>
      </c>
      <c r="L791" t="s">
        <v>117</v>
      </c>
      <c r="M791" t="s">
        <v>107</v>
      </c>
      <c r="R791" t="s">
        <v>3283</v>
      </c>
      <c r="W791" t="s">
        <v>3286</v>
      </c>
      <c r="X791" t="s">
        <v>3287</v>
      </c>
      <c r="Y791" t="s">
        <v>240</v>
      </c>
      <c r="Z791" t="s">
        <v>110</v>
      </c>
      <c r="AA791" t="str">
        <f>"11219-3424"</f>
        <v>11219-3424</v>
      </c>
      <c r="AB791" t="s">
        <v>606</v>
      </c>
      <c r="AC791" t="s">
        <v>112</v>
      </c>
      <c r="AD791" t="s">
        <v>107</v>
      </c>
      <c r="AE791" t="s">
        <v>113</v>
      </c>
      <c r="AG791" t="s">
        <v>114</v>
      </c>
    </row>
    <row r="792" spans="1:33" x14ac:dyDescent="0.25">
      <c r="A792" t="str">
        <f>"1508069360"</f>
        <v>1508069360</v>
      </c>
      <c r="B792" t="str">
        <f>"00310090"</f>
        <v>00310090</v>
      </c>
      <c r="C792" t="s">
        <v>3288</v>
      </c>
      <c r="D792" t="s">
        <v>3289</v>
      </c>
      <c r="E792" t="s">
        <v>3288</v>
      </c>
      <c r="G792" t="s">
        <v>402</v>
      </c>
      <c r="H792" t="s">
        <v>403</v>
      </c>
      <c r="J792" t="s">
        <v>404</v>
      </c>
      <c r="L792" t="s">
        <v>405</v>
      </c>
      <c r="M792" t="s">
        <v>167</v>
      </c>
      <c r="R792" t="s">
        <v>3290</v>
      </c>
      <c r="W792" t="s">
        <v>3291</v>
      </c>
      <c r="X792" t="s">
        <v>537</v>
      </c>
      <c r="Y792" t="s">
        <v>225</v>
      </c>
      <c r="Z792" t="s">
        <v>110</v>
      </c>
      <c r="AA792" t="str">
        <f>"11354-1022"</f>
        <v>11354-1022</v>
      </c>
      <c r="AB792" t="s">
        <v>408</v>
      </c>
      <c r="AC792" t="s">
        <v>112</v>
      </c>
      <c r="AD792" t="s">
        <v>107</v>
      </c>
      <c r="AE792" t="s">
        <v>113</v>
      </c>
      <c r="AG792" t="s">
        <v>114</v>
      </c>
    </row>
    <row r="793" spans="1:33" x14ac:dyDescent="0.25">
      <c r="A793" t="str">
        <f>"1013963297"</f>
        <v>1013963297</v>
      </c>
      <c r="B793" t="str">
        <f>"01669130"</f>
        <v>01669130</v>
      </c>
      <c r="C793" t="s">
        <v>3292</v>
      </c>
      <c r="D793" t="s">
        <v>3293</v>
      </c>
      <c r="E793" t="s">
        <v>3294</v>
      </c>
      <c r="G793" t="s">
        <v>360</v>
      </c>
      <c r="H793" t="s">
        <v>361</v>
      </c>
      <c r="I793">
        <v>122</v>
      </c>
      <c r="J793" t="s">
        <v>362</v>
      </c>
      <c r="L793" t="s">
        <v>166</v>
      </c>
      <c r="M793" t="s">
        <v>167</v>
      </c>
      <c r="R793" t="s">
        <v>3292</v>
      </c>
      <c r="W793" t="s">
        <v>3294</v>
      </c>
      <c r="X793" t="s">
        <v>3295</v>
      </c>
      <c r="Y793" t="s">
        <v>422</v>
      </c>
      <c r="Z793" t="s">
        <v>110</v>
      </c>
      <c r="AA793" t="str">
        <f>"11432-5517"</f>
        <v>11432-5517</v>
      </c>
      <c r="AB793" t="s">
        <v>172</v>
      </c>
      <c r="AC793" t="s">
        <v>112</v>
      </c>
      <c r="AD793" t="s">
        <v>107</v>
      </c>
      <c r="AE793" t="s">
        <v>113</v>
      </c>
      <c r="AG793" t="s">
        <v>114</v>
      </c>
    </row>
    <row r="794" spans="1:33" x14ac:dyDescent="0.25">
      <c r="A794" t="str">
        <f>"1982756656"</f>
        <v>1982756656</v>
      </c>
      <c r="B794" t="str">
        <f>"02624371"</f>
        <v>02624371</v>
      </c>
      <c r="C794" t="s">
        <v>3296</v>
      </c>
      <c r="D794" t="s">
        <v>3297</v>
      </c>
      <c r="E794" t="s">
        <v>3298</v>
      </c>
      <c r="G794" t="s">
        <v>2430</v>
      </c>
      <c r="H794" t="s">
        <v>2431</v>
      </c>
      <c r="J794" t="s">
        <v>2432</v>
      </c>
      <c r="L794" t="s">
        <v>106</v>
      </c>
      <c r="M794" t="s">
        <v>107</v>
      </c>
      <c r="R794" t="s">
        <v>3296</v>
      </c>
      <c r="W794" t="s">
        <v>3298</v>
      </c>
      <c r="X794" t="s">
        <v>2455</v>
      </c>
      <c r="Y794" t="s">
        <v>240</v>
      </c>
      <c r="Z794" t="s">
        <v>110</v>
      </c>
      <c r="AA794" t="str">
        <f>"11237-4006"</f>
        <v>11237-4006</v>
      </c>
      <c r="AB794" t="s">
        <v>172</v>
      </c>
      <c r="AC794" t="s">
        <v>112</v>
      </c>
      <c r="AD794" t="s">
        <v>107</v>
      </c>
      <c r="AE794" t="s">
        <v>113</v>
      </c>
      <c r="AG794" t="s">
        <v>114</v>
      </c>
    </row>
    <row r="795" spans="1:33" x14ac:dyDescent="0.25">
      <c r="A795" t="str">
        <f>"1881885432"</f>
        <v>1881885432</v>
      </c>
      <c r="B795" t="str">
        <f>"02966810"</f>
        <v>02966810</v>
      </c>
      <c r="C795" t="s">
        <v>3299</v>
      </c>
      <c r="D795" t="s">
        <v>3300</v>
      </c>
      <c r="E795" t="s">
        <v>3299</v>
      </c>
      <c r="G795" t="s">
        <v>2430</v>
      </c>
      <c r="H795" t="s">
        <v>2431</v>
      </c>
      <c r="J795" t="s">
        <v>2432</v>
      </c>
      <c r="L795" t="s">
        <v>166</v>
      </c>
      <c r="M795" t="s">
        <v>107</v>
      </c>
      <c r="R795" t="s">
        <v>3299</v>
      </c>
      <c r="W795" t="s">
        <v>3301</v>
      </c>
      <c r="X795" t="s">
        <v>3302</v>
      </c>
      <c r="Y795" t="s">
        <v>207</v>
      </c>
      <c r="Z795" t="s">
        <v>110</v>
      </c>
      <c r="AA795" t="str">
        <f>"11375-5338"</f>
        <v>11375-5338</v>
      </c>
      <c r="AB795" t="s">
        <v>172</v>
      </c>
      <c r="AC795" t="s">
        <v>112</v>
      </c>
      <c r="AD795" t="s">
        <v>107</v>
      </c>
      <c r="AE795" t="s">
        <v>113</v>
      </c>
      <c r="AG795" t="s">
        <v>114</v>
      </c>
    </row>
    <row r="796" spans="1:33" x14ac:dyDescent="0.25">
      <c r="A796" t="str">
        <f>"1790777894"</f>
        <v>1790777894</v>
      </c>
      <c r="B796" t="str">
        <f>"01443796"</f>
        <v>01443796</v>
      </c>
      <c r="C796" t="s">
        <v>3303</v>
      </c>
      <c r="D796" t="s">
        <v>3304</v>
      </c>
      <c r="E796" t="s">
        <v>3305</v>
      </c>
      <c r="G796" t="s">
        <v>412</v>
      </c>
      <c r="H796" t="s">
        <v>413</v>
      </c>
      <c r="J796" t="s">
        <v>414</v>
      </c>
      <c r="L796" t="s">
        <v>215</v>
      </c>
      <c r="M796" t="s">
        <v>167</v>
      </c>
      <c r="R796" t="s">
        <v>3303</v>
      </c>
      <c r="W796" t="s">
        <v>3305</v>
      </c>
      <c r="Y796" t="s">
        <v>183</v>
      </c>
      <c r="Z796" t="s">
        <v>110</v>
      </c>
      <c r="AA796" t="str">
        <f>"10458-5394"</f>
        <v>10458-5394</v>
      </c>
      <c r="AB796" t="s">
        <v>172</v>
      </c>
      <c r="AC796" t="s">
        <v>112</v>
      </c>
      <c r="AD796" t="s">
        <v>107</v>
      </c>
      <c r="AE796" t="s">
        <v>113</v>
      </c>
      <c r="AG796" t="s">
        <v>114</v>
      </c>
    </row>
    <row r="797" spans="1:33" x14ac:dyDescent="0.25">
      <c r="A797" t="str">
        <f>"1609882000"</f>
        <v>1609882000</v>
      </c>
      <c r="B797" t="str">
        <f>"02587584"</f>
        <v>02587584</v>
      </c>
      <c r="C797" t="s">
        <v>3306</v>
      </c>
      <c r="D797" t="s">
        <v>3307</v>
      </c>
      <c r="E797" t="s">
        <v>3308</v>
      </c>
      <c r="G797" t="s">
        <v>465</v>
      </c>
      <c r="H797" t="s">
        <v>466</v>
      </c>
      <c r="J797" t="s">
        <v>467</v>
      </c>
      <c r="L797" t="s">
        <v>166</v>
      </c>
      <c r="M797" t="s">
        <v>107</v>
      </c>
      <c r="R797" t="s">
        <v>3306</v>
      </c>
      <c r="W797" t="s">
        <v>3308</v>
      </c>
      <c r="X797" t="s">
        <v>3309</v>
      </c>
      <c r="Y797" t="s">
        <v>171</v>
      </c>
      <c r="Z797" t="s">
        <v>110</v>
      </c>
      <c r="AA797" t="str">
        <f>"11373-4821"</f>
        <v>11373-4821</v>
      </c>
      <c r="AB797" t="s">
        <v>172</v>
      </c>
      <c r="AC797" t="s">
        <v>112</v>
      </c>
      <c r="AD797" t="s">
        <v>107</v>
      </c>
      <c r="AE797" t="s">
        <v>113</v>
      </c>
      <c r="AG797" t="s">
        <v>114</v>
      </c>
    </row>
    <row r="798" spans="1:33" x14ac:dyDescent="0.25">
      <c r="A798" t="str">
        <f>"1831235639"</f>
        <v>1831235639</v>
      </c>
      <c r="C798" t="s">
        <v>2601</v>
      </c>
      <c r="G798" t="s">
        <v>2602</v>
      </c>
      <c r="H798" t="s">
        <v>2603</v>
      </c>
      <c r="I798">
        <v>354</v>
      </c>
      <c r="J798" t="s">
        <v>2604</v>
      </c>
      <c r="K798" t="s">
        <v>2605</v>
      </c>
      <c r="L798" t="s">
        <v>373</v>
      </c>
      <c r="M798" t="s">
        <v>107</v>
      </c>
      <c r="R798" t="s">
        <v>2601</v>
      </c>
      <c r="S798" t="s">
        <v>3310</v>
      </c>
      <c r="T798" t="s">
        <v>235</v>
      </c>
      <c r="U798" t="s">
        <v>110</v>
      </c>
      <c r="V798" t="str">
        <f>"113602154"</f>
        <v>113602154</v>
      </c>
      <c r="AC798" t="s">
        <v>112</v>
      </c>
      <c r="AD798" t="s">
        <v>107</v>
      </c>
      <c r="AE798" t="s">
        <v>278</v>
      </c>
      <c r="AG798" t="s">
        <v>114</v>
      </c>
    </row>
    <row r="799" spans="1:33" x14ac:dyDescent="0.25">
      <c r="A799" t="str">
        <f>"1942355136"</f>
        <v>1942355136</v>
      </c>
      <c r="C799" t="s">
        <v>2601</v>
      </c>
      <c r="G799" t="s">
        <v>2602</v>
      </c>
      <c r="H799" t="s">
        <v>2603</v>
      </c>
      <c r="I799">
        <v>354</v>
      </c>
      <c r="J799" t="s">
        <v>2604</v>
      </c>
      <c r="K799" t="s">
        <v>2605</v>
      </c>
      <c r="L799" t="s">
        <v>373</v>
      </c>
      <c r="M799" t="s">
        <v>107</v>
      </c>
      <c r="R799" t="s">
        <v>2601</v>
      </c>
      <c r="S799" t="s">
        <v>2623</v>
      </c>
      <c r="T799" t="s">
        <v>271</v>
      </c>
      <c r="U799" t="s">
        <v>110</v>
      </c>
      <c r="V799" t="str">
        <f>"115308165"</f>
        <v>115308165</v>
      </c>
      <c r="AC799" t="s">
        <v>112</v>
      </c>
      <c r="AD799" t="s">
        <v>107</v>
      </c>
      <c r="AE799" t="s">
        <v>278</v>
      </c>
      <c r="AG799" t="s">
        <v>114</v>
      </c>
    </row>
    <row r="800" spans="1:33" x14ac:dyDescent="0.25">
      <c r="A800" t="str">
        <f>"1952442873"</f>
        <v>1952442873</v>
      </c>
      <c r="C800" t="s">
        <v>2601</v>
      </c>
      <c r="G800" t="s">
        <v>2602</v>
      </c>
      <c r="H800" t="s">
        <v>2603</v>
      </c>
      <c r="I800">
        <v>354</v>
      </c>
      <c r="J800" t="s">
        <v>2604</v>
      </c>
      <c r="K800" t="s">
        <v>2605</v>
      </c>
      <c r="L800" t="s">
        <v>373</v>
      </c>
      <c r="M800" t="s">
        <v>107</v>
      </c>
      <c r="R800" t="s">
        <v>2601</v>
      </c>
      <c r="S800" t="s">
        <v>2623</v>
      </c>
      <c r="T800" t="s">
        <v>271</v>
      </c>
      <c r="U800" t="s">
        <v>110</v>
      </c>
      <c r="V800" t="str">
        <f>"115308165"</f>
        <v>115308165</v>
      </c>
      <c r="AC800" t="s">
        <v>112</v>
      </c>
      <c r="AD800" t="s">
        <v>107</v>
      </c>
      <c r="AE800" t="s">
        <v>278</v>
      </c>
      <c r="AG800" t="s">
        <v>114</v>
      </c>
    </row>
    <row r="801" spans="1:33" x14ac:dyDescent="0.25">
      <c r="A801" t="str">
        <f>"1720319726"</f>
        <v>1720319726</v>
      </c>
      <c r="C801" t="s">
        <v>3311</v>
      </c>
      <c r="G801" t="s">
        <v>1054</v>
      </c>
      <c r="H801" t="s">
        <v>1055</v>
      </c>
      <c r="J801" t="s">
        <v>1056</v>
      </c>
      <c r="K801" t="s">
        <v>1616</v>
      </c>
      <c r="L801" t="s">
        <v>373</v>
      </c>
      <c r="M801" t="s">
        <v>167</v>
      </c>
      <c r="R801" t="s">
        <v>3312</v>
      </c>
      <c r="S801" t="s">
        <v>3313</v>
      </c>
      <c r="T801" t="s">
        <v>240</v>
      </c>
      <c r="U801" t="s">
        <v>110</v>
      </c>
      <c r="V801" t="str">
        <f>"112384205"</f>
        <v>112384205</v>
      </c>
      <c r="AC801" t="s">
        <v>112</v>
      </c>
      <c r="AD801" t="s">
        <v>107</v>
      </c>
      <c r="AE801" t="s">
        <v>278</v>
      </c>
      <c r="AG801" t="s">
        <v>114</v>
      </c>
    </row>
    <row r="802" spans="1:33" x14ac:dyDescent="0.25">
      <c r="A802" t="str">
        <f>"1275800864"</f>
        <v>1275800864</v>
      </c>
      <c r="B802" t="str">
        <f>"03409950"</f>
        <v>03409950</v>
      </c>
      <c r="C802" t="s">
        <v>3314</v>
      </c>
      <c r="D802" t="s">
        <v>3315</v>
      </c>
      <c r="E802" t="s">
        <v>3316</v>
      </c>
      <c r="G802" t="s">
        <v>736</v>
      </c>
      <c r="H802" t="s">
        <v>737</v>
      </c>
      <c r="I802">
        <v>1108</v>
      </c>
      <c r="J802" t="s">
        <v>738</v>
      </c>
      <c r="L802" t="s">
        <v>166</v>
      </c>
      <c r="M802" t="s">
        <v>107</v>
      </c>
      <c r="R802" t="s">
        <v>3314</v>
      </c>
      <c r="W802" t="s">
        <v>3316</v>
      </c>
      <c r="X802" t="s">
        <v>3317</v>
      </c>
      <c r="Y802" t="s">
        <v>225</v>
      </c>
      <c r="Z802" t="s">
        <v>110</v>
      </c>
      <c r="AA802" t="str">
        <f>"11366-1957"</f>
        <v>11366-1957</v>
      </c>
      <c r="AB802" t="s">
        <v>172</v>
      </c>
      <c r="AC802" t="s">
        <v>112</v>
      </c>
      <c r="AD802" t="s">
        <v>107</v>
      </c>
      <c r="AE802" t="s">
        <v>113</v>
      </c>
      <c r="AG802" t="s">
        <v>114</v>
      </c>
    </row>
    <row r="803" spans="1:33" x14ac:dyDescent="0.25">
      <c r="A803" t="str">
        <f>"1821238940"</f>
        <v>1821238940</v>
      </c>
      <c r="B803" t="str">
        <f>"03313059"</f>
        <v>03313059</v>
      </c>
      <c r="C803" t="s">
        <v>3318</v>
      </c>
      <c r="D803" t="s">
        <v>3319</v>
      </c>
      <c r="E803" t="s">
        <v>3320</v>
      </c>
      <c r="G803" t="s">
        <v>736</v>
      </c>
      <c r="H803" t="s">
        <v>737</v>
      </c>
      <c r="I803">
        <v>1108</v>
      </c>
      <c r="J803" t="s">
        <v>738</v>
      </c>
      <c r="L803" t="s">
        <v>166</v>
      </c>
      <c r="M803" t="s">
        <v>107</v>
      </c>
      <c r="R803" t="s">
        <v>3318</v>
      </c>
      <c r="W803" t="s">
        <v>3321</v>
      </c>
      <c r="X803" t="s">
        <v>506</v>
      </c>
      <c r="Y803" t="s">
        <v>225</v>
      </c>
      <c r="Z803" t="s">
        <v>110</v>
      </c>
      <c r="AA803" t="str">
        <f>"11355-2205"</f>
        <v>11355-2205</v>
      </c>
      <c r="AB803" t="s">
        <v>172</v>
      </c>
      <c r="AC803" t="s">
        <v>112</v>
      </c>
      <c r="AD803" t="s">
        <v>107</v>
      </c>
      <c r="AE803" t="s">
        <v>113</v>
      </c>
      <c r="AG803" t="s">
        <v>114</v>
      </c>
    </row>
    <row r="804" spans="1:33" x14ac:dyDescent="0.25">
      <c r="A804" t="str">
        <f>"1114368370"</f>
        <v>1114368370</v>
      </c>
      <c r="B804" t="str">
        <f>"03835701"</f>
        <v>03835701</v>
      </c>
      <c r="C804" t="s">
        <v>3322</v>
      </c>
      <c r="D804" t="s">
        <v>3323</v>
      </c>
      <c r="E804" t="s">
        <v>3324</v>
      </c>
      <c r="G804" t="s">
        <v>176</v>
      </c>
      <c r="H804" t="s">
        <v>177</v>
      </c>
      <c r="I804">
        <v>3264</v>
      </c>
      <c r="J804" t="s">
        <v>178</v>
      </c>
      <c r="L804" t="s">
        <v>514</v>
      </c>
      <c r="M804" t="s">
        <v>107</v>
      </c>
      <c r="R804" t="s">
        <v>3322</v>
      </c>
      <c r="W804" t="s">
        <v>3324</v>
      </c>
      <c r="X804" t="s">
        <v>2793</v>
      </c>
      <c r="Y804" t="s">
        <v>183</v>
      </c>
      <c r="Z804" t="s">
        <v>110</v>
      </c>
      <c r="AA804" t="str">
        <f>"10451-5909"</f>
        <v>10451-5909</v>
      </c>
      <c r="AB804" t="s">
        <v>172</v>
      </c>
      <c r="AC804" t="s">
        <v>112</v>
      </c>
      <c r="AD804" t="s">
        <v>107</v>
      </c>
      <c r="AE804" t="s">
        <v>113</v>
      </c>
      <c r="AG804" t="s">
        <v>114</v>
      </c>
    </row>
    <row r="805" spans="1:33" x14ac:dyDescent="0.25">
      <c r="A805" t="str">
        <f>"1568898872"</f>
        <v>1568898872</v>
      </c>
      <c r="B805" t="str">
        <f>"03736041"</f>
        <v>03736041</v>
      </c>
      <c r="C805" t="s">
        <v>3325</v>
      </c>
      <c r="D805" t="s">
        <v>3326</v>
      </c>
      <c r="E805" t="s">
        <v>3327</v>
      </c>
      <c r="G805" t="s">
        <v>212</v>
      </c>
      <c r="H805" t="s">
        <v>213</v>
      </c>
      <c r="J805" t="s">
        <v>214</v>
      </c>
      <c r="L805" t="s">
        <v>166</v>
      </c>
      <c r="M805" t="s">
        <v>167</v>
      </c>
      <c r="R805" t="s">
        <v>3325</v>
      </c>
      <c r="W805" t="s">
        <v>3327</v>
      </c>
      <c r="X805" t="s">
        <v>286</v>
      </c>
      <c r="Y805" t="s">
        <v>183</v>
      </c>
      <c r="Z805" t="s">
        <v>110</v>
      </c>
      <c r="AA805" t="str">
        <f>"10459-3204"</f>
        <v>10459-3204</v>
      </c>
      <c r="AB805" t="s">
        <v>172</v>
      </c>
      <c r="AC805" t="s">
        <v>112</v>
      </c>
      <c r="AD805" t="s">
        <v>107</v>
      </c>
      <c r="AE805" t="s">
        <v>113</v>
      </c>
      <c r="AG805" t="s">
        <v>114</v>
      </c>
    </row>
    <row r="806" spans="1:33" x14ac:dyDescent="0.25">
      <c r="A806" t="str">
        <f>"1528155694"</f>
        <v>1528155694</v>
      </c>
      <c r="B806" t="str">
        <f>"01665916"</f>
        <v>01665916</v>
      </c>
      <c r="C806" t="s">
        <v>3328</v>
      </c>
      <c r="D806" t="s">
        <v>3329</v>
      </c>
      <c r="E806" t="s">
        <v>3330</v>
      </c>
      <c r="G806" t="s">
        <v>212</v>
      </c>
      <c r="H806" t="s">
        <v>213</v>
      </c>
      <c r="J806" t="s">
        <v>214</v>
      </c>
      <c r="L806" t="s">
        <v>166</v>
      </c>
      <c r="M806" t="s">
        <v>107</v>
      </c>
      <c r="R806" t="s">
        <v>3328</v>
      </c>
      <c r="W806" t="s">
        <v>3330</v>
      </c>
      <c r="X806" t="s">
        <v>3331</v>
      </c>
      <c r="Y806" t="s">
        <v>325</v>
      </c>
      <c r="Z806" t="s">
        <v>110</v>
      </c>
      <c r="AA806" t="str">
        <f>"10021-4872"</f>
        <v>10021-4872</v>
      </c>
      <c r="AB806" t="s">
        <v>172</v>
      </c>
      <c r="AC806" t="s">
        <v>112</v>
      </c>
      <c r="AD806" t="s">
        <v>107</v>
      </c>
      <c r="AE806" t="s">
        <v>113</v>
      </c>
      <c r="AG806" t="s">
        <v>114</v>
      </c>
    </row>
    <row r="807" spans="1:33" x14ac:dyDescent="0.25">
      <c r="A807" t="str">
        <f>"1811199342"</f>
        <v>1811199342</v>
      </c>
      <c r="B807" t="str">
        <f>"02440522"</f>
        <v>02440522</v>
      </c>
      <c r="C807" t="s">
        <v>3332</v>
      </c>
      <c r="D807" t="s">
        <v>3333</v>
      </c>
      <c r="E807" t="s">
        <v>3334</v>
      </c>
      <c r="G807" t="s">
        <v>273</v>
      </c>
      <c r="H807" t="s">
        <v>274</v>
      </c>
      <c r="J807" t="s">
        <v>275</v>
      </c>
      <c r="L807" t="s">
        <v>117</v>
      </c>
      <c r="M807" t="s">
        <v>167</v>
      </c>
      <c r="R807" t="s">
        <v>3332</v>
      </c>
      <c r="W807" t="s">
        <v>3334</v>
      </c>
      <c r="X807" t="s">
        <v>3335</v>
      </c>
      <c r="Y807" t="s">
        <v>183</v>
      </c>
      <c r="Z807" t="s">
        <v>110</v>
      </c>
      <c r="AA807" t="str">
        <f>"10451-5589"</f>
        <v>10451-5589</v>
      </c>
      <c r="AB807" t="s">
        <v>172</v>
      </c>
      <c r="AC807" t="s">
        <v>112</v>
      </c>
      <c r="AD807" t="s">
        <v>107</v>
      </c>
      <c r="AE807" t="s">
        <v>113</v>
      </c>
      <c r="AG807" t="s">
        <v>114</v>
      </c>
    </row>
    <row r="808" spans="1:33" x14ac:dyDescent="0.25">
      <c r="A808" t="str">
        <f>"1710179825"</f>
        <v>1710179825</v>
      </c>
      <c r="B808" t="str">
        <f>"03367131"</f>
        <v>03367131</v>
      </c>
      <c r="C808" t="s">
        <v>3336</v>
      </c>
      <c r="D808" t="s">
        <v>3337</v>
      </c>
      <c r="E808" t="s">
        <v>3338</v>
      </c>
      <c r="G808" t="s">
        <v>176</v>
      </c>
      <c r="H808" t="s">
        <v>177</v>
      </c>
      <c r="I808">
        <v>3264</v>
      </c>
      <c r="J808" t="s">
        <v>178</v>
      </c>
      <c r="L808" t="s">
        <v>514</v>
      </c>
      <c r="M808" t="s">
        <v>167</v>
      </c>
      <c r="R808" t="s">
        <v>3336</v>
      </c>
      <c r="W808" t="s">
        <v>3339</v>
      </c>
      <c r="X808" t="s">
        <v>239</v>
      </c>
      <c r="Y808" t="s">
        <v>240</v>
      </c>
      <c r="Z808" t="s">
        <v>110</v>
      </c>
      <c r="AA808" t="str">
        <f>"11216-3903"</f>
        <v>11216-3903</v>
      </c>
      <c r="AB808" t="s">
        <v>172</v>
      </c>
      <c r="AC808" t="s">
        <v>112</v>
      </c>
      <c r="AD808" t="s">
        <v>107</v>
      </c>
      <c r="AE808" t="s">
        <v>113</v>
      </c>
      <c r="AG808" t="s">
        <v>114</v>
      </c>
    </row>
    <row r="809" spans="1:33" x14ac:dyDescent="0.25">
      <c r="A809" t="str">
        <f>"1952404501"</f>
        <v>1952404501</v>
      </c>
      <c r="B809" t="str">
        <f>"02159135"</f>
        <v>02159135</v>
      </c>
      <c r="C809" t="s">
        <v>3340</v>
      </c>
      <c r="D809" t="s">
        <v>3341</v>
      </c>
      <c r="E809" t="s">
        <v>3342</v>
      </c>
      <c r="G809" t="s">
        <v>289</v>
      </c>
      <c r="H809" t="s">
        <v>290</v>
      </c>
      <c r="J809" t="s">
        <v>291</v>
      </c>
      <c r="L809" t="s">
        <v>117</v>
      </c>
      <c r="M809" t="s">
        <v>107</v>
      </c>
      <c r="R809" t="s">
        <v>3340</v>
      </c>
      <c r="W809" t="s">
        <v>3342</v>
      </c>
      <c r="X809" t="s">
        <v>3343</v>
      </c>
      <c r="Y809" t="s">
        <v>325</v>
      </c>
      <c r="Z809" t="s">
        <v>110</v>
      </c>
      <c r="AA809" t="str">
        <f>"10029-4413"</f>
        <v>10029-4413</v>
      </c>
      <c r="AB809" t="s">
        <v>172</v>
      </c>
      <c r="AC809" t="s">
        <v>112</v>
      </c>
      <c r="AD809" t="s">
        <v>107</v>
      </c>
      <c r="AE809" t="s">
        <v>113</v>
      </c>
      <c r="AG809" t="s">
        <v>114</v>
      </c>
    </row>
    <row r="810" spans="1:33" x14ac:dyDescent="0.25">
      <c r="A810" t="str">
        <f>"1417099300"</f>
        <v>1417099300</v>
      </c>
      <c r="B810" t="str">
        <f>"03684719"</f>
        <v>03684719</v>
      </c>
      <c r="C810" t="s">
        <v>3344</v>
      </c>
      <c r="D810" t="s">
        <v>3345</v>
      </c>
      <c r="E810" t="s">
        <v>3346</v>
      </c>
      <c r="G810" t="s">
        <v>289</v>
      </c>
      <c r="H810" t="s">
        <v>290</v>
      </c>
      <c r="J810" t="s">
        <v>291</v>
      </c>
      <c r="L810" t="s">
        <v>106</v>
      </c>
      <c r="M810" t="s">
        <v>107</v>
      </c>
      <c r="R810" t="s">
        <v>3344</v>
      </c>
      <c r="W810" t="s">
        <v>3346</v>
      </c>
      <c r="X810" t="s">
        <v>619</v>
      </c>
      <c r="Y810" t="s">
        <v>481</v>
      </c>
      <c r="Z810" t="s">
        <v>110</v>
      </c>
      <c r="AA810" t="str">
        <f>"11427-2128"</f>
        <v>11427-2128</v>
      </c>
      <c r="AB810" t="s">
        <v>172</v>
      </c>
      <c r="AC810" t="s">
        <v>112</v>
      </c>
      <c r="AD810" t="s">
        <v>107</v>
      </c>
      <c r="AE810" t="s">
        <v>113</v>
      </c>
      <c r="AG810" t="s">
        <v>114</v>
      </c>
    </row>
    <row r="811" spans="1:33" x14ac:dyDescent="0.25">
      <c r="A811" t="str">
        <f>"1760578108"</f>
        <v>1760578108</v>
      </c>
      <c r="B811" t="str">
        <f>"02725937"</f>
        <v>02725937</v>
      </c>
      <c r="C811" t="s">
        <v>3347</v>
      </c>
      <c r="D811" t="s">
        <v>3348</v>
      </c>
      <c r="E811" t="s">
        <v>3349</v>
      </c>
      <c r="G811" t="s">
        <v>289</v>
      </c>
      <c r="H811" t="s">
        <v>290</v>
      </c>
      <c r="J811" t="s">
        <v>291</v>
      </c>
      <c r="L811" t="s">
        <v>117</v>
      </c>
      <c r="M811" t="s">
        <v>167</v>
      </c>
      <c r="R811" t="s">
        <v>3347</v>
      </c>
      <c r="W811" t="s">
        <v>3350</v>
      </c>
      <c r="X811" t="s">
        <v>3351</v>
      </c>
      <c r="Y811" t="s">
        <v>422</v>
      </c>
      <c r="Z811" t="s">
        <v>110</v>
      </c>
      <c r="AA811" t="str">
        <f>"11432-1121"</f>
        <v>11432-1121</v>
      </c>
      <c r="AB811" t="s">
        <v>172</v>
      </c>
      <c r="AC811" t="s">
        <v>112</v>
      </c>
      <c r="AD811" t="s">
        <v>107</v>
      </c>
      <c r="AE811" t="s">
        <v>113</v>
      </c>
      <c r="AG811" t="s">
        <v>114</v>
      </c>
    </row>
    <row r="812" spans="1:33" x14ac:dyDescent="0.25">
      <c r="A812" t="str">
        <f>"1417922337"</f>
        <v>1417922337</v>
      </c>
      <c r="B812" t="str">
        <f>"01665690"</f>
        <v>01665690</v>
      </c>
      <c r="C812" t="s">
        <v>3352</v>
      </c>
      <c r="D812" t="s">
        <v>3353</v>
      </c>
      <c r="E812" t="s">
        <v>3354</v>
      </c>
      <c r="G812" t="s">
        <v>3092</v>
      </c>
      <c r="H812" t="s">
        <v>3093</v>
      </c>
      <c r="J812" t="s">
        <v>3094</v>
      </c>
      <c r="L812" t="s">
        <v>215</v>
      </c>
      <c r="M812" t="s">
        <v>107</v>
      </c>
      <c r="R812" t="s">
        <v>3352</v>
      </c>
      <c r="W812" t="s">
        <v>3355</v>
      </c>
      <c r="Y812" t="s">
        <v>183</v>
      </c>
      <c r="Z812" t="s">
        <v>110</v>
      </c>
      <c r="AA812" t="str">
        <f>"10461-3733"</f>
        <v>10461-3733</v>
      </c>
      <c r="AB812" t="s">
        <v>172</v>
      </c>
      <c r="AC812" t="s">
        <v>112</v>
      </c>
      <c r="AD812" t="s">
        <v>107</v>
      </c>
      <c r="AE812" t="s">
        <v>113</v>
      </c>
      <c r="AG812" t="s">
        <v>114</v>
      </c>
    </row>
    <row r="813" spans="1:33" x14ac:dyDescent="0.25">
      <c r="A813" t="str">
        <f>"1659304756"</f>
        <v>1659304756</v>
      </c>
      <c r="B813" t="str">
        <f>"02426891"</f>
        <v>02426891</v>
      </c>
      <c r="C813" t="s">
        <v>3356</v>
      </c>
      <c r="D813" t="s">
        <v>3357</v>
      </c>
      <c r="E813" t="s">
        <v>3358</v>
      </c>
      <c r="G813" t="s">
        <v>3092</v>
      </c>
      <c r="H813" t="s">
        <v>3093</v>
      </c>
      <c r="J813" t="s">
        <v>3094</v>
      </c>
      <c r="L813" t="s">
        <v>215</v>
      </c>
      <c r="M813" t="s">
        <v>107</v>
      </c>
      <c r="R813" t="s">
        <v>3356</v>
      </c>
      <c r="W813" t="s">
        <v>3358</v>
      </c>
      <c r="X813" t="s">
        <v>3359</v>
      </c>
      <c r="Y813" t="s">
        <v>225</v>
      </c>
      <c r="Z813" t="s">
        <v>110</v>
      </c>
      <c r="AA813" t="str">
        <f>"11355-5045"</f>
        <v>11355-5045</v>
      </c>
      <c r="AB813" t="s">
        <v>172</v>
      </c>
      <c r="AC813" t="s">
        <v>112</v>
      </c>
      <c r="AD813" t="s">
        <v>107</v>
      </c>
      <c r="AE813" t="s">
        <v>113</v>
      </c>
      <c r="AG813" t="s">
        <v>114</v>
      </c>
    </row>
    <row r="814" spans="1:33" x14ac:dyDescent="0.25">
      <c r="A814" t="str">
        <f>"1134317944"</f>
        <v>1134317944</v>
      </c>
      <c r="B814" t="str">
        <f>"03057178"</f>
        <v>03057178</v>
      </c>
      <c r="C814" t="s">
        <v>3360</v>
      </c>
      <c r="D814" t="s">
        <v>3361</v>
      </c>
      <c r="E814" t="s">
        <v>3362</v>
      </c>
      <c r="G814" t="s">
        <v>3092</v>
      </c>
      <c r="H814" t="s">
        <v>3093</v>
      </c>
      <c r="J814" t="s">
        <v>3094</v>
      </c>
      <c r="L814" t="s">
        <v>215</v>
      </c>
      <c r="M814" t="s">
        <v>107</v>
      </c>
      <c r="R814" t="s">
        <v>3360</v>
      </c>
      <c r="W814" t="s">
        <v>3362</v>
      </c>
      <c r="X814" t="s">
        <v>3096</v>
      </c>
      <c r="Y814" t="s">
        <v>183</v>
      </c>
      <c r="Z814" t="s">
        <v>110</v>
      </c>
      <c r="AA814" t="str">
        <f>"10461-3733"</f>
        <v>10461-3733</v>
      </c>
      <c r="AB814" t="s">
        <v>172</v>
      </c>
      <c r="AC814" t="s">
        <v>112</v>
      </c>
      <c r="AD814" t="s">
        <v>107</v>
      </c>
      <c r="AE814" t="s">
        <v>113</v>
      </c>
      <c r="AG814" t="s">
        <v>114</v>
      </c>
    </row>
    <row r="815" spans="1:33" x14ac:dyDescent="0.25">
      <c r="A815" t="str">
        <f>"1467698480"</f>
        <v>1467698480</v>
      </c>
      <c r="B815" t="str">
        <f>"03294924"</f>
        <v>03294924</v>
      </c>
      <c r="C815" t="s">
        <v>3363</v>
      </c>
      <c r="D815" t="s">
        <v>3364</v>
      </c>
      <c r="E815" t="s">
        <v>3365</v>
      </c>
      <c r="G815" t="s">
        <v>3092</v>
      </c>
      <c r="H815" t="s">
        <v>3093</v>
      </c>
      <c r="J815" t="s">
        <v>3094</v>
      </c>
      <c r="L815" t="s">
        <v>215</v>
      </c>
      <c r="M815" t="s">
        <v>107</v>
      </c>
      <c r="R815" t="s">
        <v>3363</v>
      </c>
      <c r="W815" t="s">
        <v>3365</v>
      </c>
      <c r="X815" t="s">
        <v>3366</v>
      </c>
      <c r="Y815" t="s">
        <v>647</v>
      </c>
      <c r="Z815" t="s">
        <v>110</v>
      </c>
      <c r="AA815" t="str">
        <f>"11365-2242"</f>
        <v>11365-2242</v>
      </c>
      <c r="AB815" t="s">
        <v>172</v>
      </c>
      <c r="AC815" t="s">
        <v>112</v>
      </c>
      <c r="AD815" t="s">
        <v>107</v>
      </c>
      <c r="AE815" t="s">
        <v>113</v>
      </c>
      <c r="AG815" t="s">
        <v>114</v>
      </c>
    </row>
    <row r="816" spans="1:33" x14ac:dyDescent="0.25">
      <c r="A816" t="str">
        <f>"1942253158"</f>
        <v>1942253158</v>
      </c>
      <c r="B816" t="str">
        <f>"01297401"</f>
        <v>01297401</v>
      </c>
      <c r="C816" t="s">
        <v>3367</v>
      </c>
      <c r="D816" t="s">
        <v>3368</v>
      </c>
      <c r="E816" t="s">
        <v>3369</v>
      </c>
      <c r="G816" t="s">
        <v>3370</v>
      </c>
      <c r="H816" t="s">
        <v>3371</v>
      </c>
      <c r="J816" t="s">
        <v>3372</v>
      </c>
      <c r="L816" t="s">
        <v>215</v>
      </c>
      <c r="M816" t="s">
        <v>167</v>
      </c>
      <c r="R816" t="s">
        <v>3367</v>
      </c>
      <c r="W816" t="s">
        <v>3373</v>
      </c>
      <c r="X816" t="s">
        <v>3374</v>
      </c>
      <c r="Y816" t="s">
        <v>264</v>
      </c>
      <c r="Z816" t="s">
        <v>110</v>
      </c>
      <c r="AA816" t="str">
        <f>"11501-3800"</f>
        <v>11501-3800</v>
      </c>
      <c r="AB816" t="s">
        <v>172</v>
      </c>
      <c r="AC816" t="s">
        <v>112</v>
      </c>
      <c r="AD816" t="s">
        <v>107</v>
      </c>
      <c r="AE816" t="s">
        <v>113</v>
      </c>
      <c r="AG816" t="s">
        <v>114</v>
      </c>
    </row>
    <row r="817" spans="1:35" x14ac:dyDescent="0.25">
      <c r="A817" t="str">
        <f>"1265511877"</f>
        <v>1265511877</v>
      </c>
      <c r="B817" t="str">
        <f>"01558112"</f>
        <v>01558112</v>
      </c>
      <c r="C817" t="s">
        <v>3375</v>
      </c>
      <c r="D817" t="s">
        <v>3376</v>
      </c>
      <c r="E817" t="s">
        <v>3377</v>
      </c>
      <c r="G817" t="s">
        <v>3370</v>
      </c>
      <c r="H817" t="s">
        <v>3371</v>
      </c>
      <c r="J817" t="s">
        <v>3372</v>
      </c>
      <c r="L817" t="s">
        <v>166</v>
      </c>
      <c r="M817" t="s">
        <v>107</v>
      </c>
      <c r="R817" t="s">
        <v>3375</v>
      </c>
      <c r="W817" t="s">
        <v>3377</v>
      </c>
      <c r="X817" t="s">
        <v>3378</v>
      </c>
      <c r="Y817" t="s">
        <v>481</v>
      </c>
      <c r="Z817" t="s">
        <v>110</v>
      </c>
      <c r="AA817" t="str">
        <f>"11427-2513"</f>
        <v>11427-2513</v>
      </c>
      <c r="AB817" t="s">
        <v>172</v>
      </c>
      <c r="AC817" t="s">
        <v>112</v>
      </c>
      <c r="AD817" t="s">
        <v>107</v>
      </c>
      <c r="AE817" t="s">
        <v>113</v>
      </c>
      <c r="AG817" t="s">
        <v>114</v>
      </c>
    </row>
    <row r="818" spans="1:35" x14ac:dyDescent="0.25">
      <c r="A818" t="str">
        <f>"1124287982"</f>
        <v>1124287982</v>
      </c>
      <c r="B818" t="str">
        <f>"03264660"</f>
        <v>03264660</v>
      </c>
      <c r="C818" t="s">
        <v>3379</v>
      </c>
      <c r="D818" t="s">
        <v>3380</v>
      </c>
      <c r="E818" t="s">
        <v>3381</v>
      </c>
      <c r="G818" t="s">
        <v>3370</v>
      </c>
      <c r="H818" t="s">
        <v>3371</v>
      </c>
      <c r="J818" t="s">
        <v>3372</v>
      </c>
      <c r="L818" t="s">
        <v>166</v>
      </c>
      <c r="M818" t="s">
        <v>107</v>
      </c>
      <c r="R818" t="s">
        <v>3379</v>
      </c>
      <c r="W818" t="s">
        <v>3382</v>
      </c>
      <c r="X818" t="s">
        <v>3383</v>
      </c>
      <c r="Y818" t="s">
        <v>1755</v>
      </c>
      <c r="Z818" t="s">
        <v>110</v>
      </c>
      <c r="AA818" t="str">
        <f>"11542-2529"</f>
        <v>11542-2529</v>
      </c>
      <c r="AB818" t="s">
        <v>172</v>
      </c>
      <c r="AC818" t="s">
        <v>112</v>
      </c>
      <c r="AD818" t="s">
        <v>107</v>
      </c>
      <c r="AE818" t="s">
        <v>113</v>
      </c>
      <c r="AG818" t="s">
        <v>114</v>
      </c>
    </row>
    <row r="819" spans="1:35" x14ac:dyDescent="0.25">
      <c r="A819" t="str">
        <f>"1942341813"</f>
        <v>1942341813</v>
      </c>
      <c r="B819" t="str">
        <f>"02022544"</f>
        <v>02022544</v>
      </c>
      <c r="C819" t="s">
        <v>3384</v>
      </c>
      <c r="D819" t="s">
        <v>3385</v>
      </c>
      <c r="E819" t="s">
        <v>3386</v>
      </c>
      <c r="G819" t="s">
        <v>3370</v>
      </c>
      <c r="H819" t="s">
        <v>3371</v>
      </c>
      <c r="J819" t="s">
        <v>3372</v>
      </c>
      <c r="L819" t="s">
        <v>315</v>
      </c>
      <c r="M819" t="s">
        <v>107</v>
      </c>
      <c r="R819" t="s">
        <v>3384</v>
      </c>
      <c r="W819" t="s">
        <v>3386</v>
      </c>
      <c r="X819" t="s">
        <v>3387</v>
      </c>
      <c r="Y819" t="s">
        <v>109</v>
      </c>
      <c r="Z819" t="s">
        <v>110</v>
      </c>
      <c r="AA819" t="str">
        <f>"11374-1099"</f>
        <v>11374-1099</v>
      </c>
      <c r="AB819" t="s">
        <v>172</v>
      </c>
      <c r="AC819" t="s">
        <v>112</v>
      </c>
      <c r="AD819" t="s">
        <v>107</v>
      </c>
      <c r="AE819" t="s">
        <v>113</v>
      </c>
      <c r="AG819" t="s">
        <v>114</v>
      </c>
    </row>
    <row r="820" spans="1:35" x14ac:dyDescent="0.25">
      <c r="A820" t="str">
        <f>"1902903099"</f>
        <v>1902903099</v>
      </c>
      <c r="B820" t="str">
        <f>"01463932"</f>
        <v>01463932</v>
      </c>
      <c r="C820" t="s">
        <v>3388</v>
      </c>
      <c r="D820" t="s">
        <v>3389</v>
      </c>
      <c r="E820" t="s">
        <v>3390</v>
      </c>
      <c r="G820" t="s">
        <v>3370</v>
      </c>
      <c r="H820" t="s">
        <v>3371</v>
      </c>
      <c r="J820" t="s">
        <v>3372</v>
      </c>
      <c r="L820" t="s">
        <v>166</v>
      </c>
      <c r="M820" t="s">
        <v>107</v>
      </c>
      <c r="R820" t="s">
        <v>3388</v>
      </c>
      <c r="W820" t="s">
        <v>3391</v>
      </c>
      <c r="X820" t="s">
        <v>3392</v>
      </c>
      <c r="Y820" t="s">
        <v>1755</v>
      </c>
      <c r="Z820" t="s">
        <v>110</v>
      </c>
      <c r="AA820" t="str">
        <f>"11542-2108"</f>
        <v>11542-2108</v>
      </c>
      <c r="AB820" t="s">
        <v>172</v>
      </c>
      <c r="AC820" t="s">
        <v>112</v>
      </c>
      <c r="AD820" t="s">
        <v>107</v>
      </c>
      <c r="AE820" t="s">
        <v>113</v>
      </c>
      <c r="AG820" t="s">
        <v>114</v>
      </c>
    </row>
    <row r="821" spans="1:35" x14ac:dyDescent="0.25">
      <c r="A821" t="str">
        <f>"1962550699"</f>
        <v>1962550699</v>
      </c>
      <c r="B821" t="str">
        <f>"02677530"</f>
        <v>02677530</v>
      </c>
      <c r="C821" t="s">
        <v>3393</v>
      </c>
      <c r="D821" t="s">
        <v>3394</v>
      </c>
      <c r="E821" t="s">
        <v>3395</v>
      </c>
      <c r="G821" t="s">
        <v>308</v>
      </c>
      <c r="H821" t="s">
        <v>309</v>
      </c>
      <c r="J821" t="s">
        <v>310</v>
      </c>
      <c r="L821" t="s">
        <v>166</v>
      </c>
      <c r="M821" t="s">
        <v>107</v>
      </c>
      <c r="R821" t="s">
        <v>3393</v>
      </c>
      <c r="W821" t="s">
        <v>3395</v>
      </c>
      <c r="X821" t="s">
        <v>3396</v>
      </c>
      <c r="Y821" t="s">
        <v>225</v>
      </c>
      <c r="Z821" t="s">
        <v>110</v>
      </c>
      <c r="AA821" t="str">
        <f>"11355-5098"</f>
        <v>11355-5098</v>
      </c>
      <c r="AB821" t="s">
        <v>172</v>
      </c>
      <c r="AC821" t="s">
        <v>112</v>
      </c>
      <c r="AD821" t="s">
        <v>107</v>
      </c>
      <c r="AE821" t="s">
        <v>113</v>
      </c>
      <c r="AG821" t="s">
        <v>114</v>
      </c>
    </row>
    <row r="822" spans="1:35" x14ac:dyDescent="0.25">
      <c r="A822" t="str">
        <f>"1104809078"</f>
        <v>1104809078</v>
      </c>
      <c r="B822" t="str">
        <f>"01535991"</f>
        <v>01535991</v>
      </c>
      <c r="C822" t="s">
        <v>3397</v>
      </c>
      <c r="D822" t="s">
        <v>3398</v>
      </c>
      <c r="E822" t="s">
        <v>3399</v>
      </c>
      <c r="G822" t="s">
        <v>308</v>
      </c>
      <c r="H822" t="s">
        <v>309</v>
      </c>
      <c r="J822" t="s">
        <v>310</v>
      </c>
      <c r="L822" t="s">
        <v>166</v>
      </c>
      <c r="M822" t="s">
        <v>107</v>
      </c>
      <c r="R822" t="s">
        <v>3397</v>
      </c>
      <c r="W822" t="s">
        <v>3399</v>
      </c>
      <c r="X822" t="s">
        <v>3400</v>
      </c>
      <c r="Y822" t="s">
        <v>225</v>
      </c>
      <c r="Z822" t="s">
        <v>110</v>
      </c>
      <c r="AA822" t="str">
        <f>"11355-5045"</f>
        <v>11355-5045</v>
      </c>
      <c r="AB822" t="s">
        <v>172</v>
      </c>
      <c r="AC822" t="s">
        <v>112</v>
      </c>
      <c r="AD822" t="s">
        <v>107</v>
      </c>
      <c r="AE822" t="s">
        <v>113</v>
      </c>
      <c r="AG822" t="s">
        <v>114</v>
      </c>
    </row>
    <row r="823" spans="1:35" x14ac:dyDescent="0.25">
      <c r="A823" t="str">
        <f>"1396817268"</f>
        <v>1396817268</v>
      </c>
      <c r="B823" t="str">
        <f>"02618399"</f>
        <v>02618399</v>
      </c>
      <c r="C823" t="s">
        <v>3401</v>
      </c>
      <c r="D823" t="s">
        <v>3402</v>
      </c>
      <c r="E823" t="s">
        <v>3403</v>
      </c>
      <c r="G823" t="s">
        <v>3404</v>
      </c>
      <c r="H823" t="s">
        <v>3405</v>
      </c>
      <c r="J823" t="s">
        <v>3406</v>
      </c>
      <c r="L823" t="s">
        <v>166</v>
      </c>
      <c r="M823" t="s">
        <v>167</v>
      </c>
      <c r="R823" t="s">
        <v>3401</v>
      </c>
      <c r="W823" t="s">
        <v>3403</v>
      </c>
      <c r="X823" t="s">
        <v>3407</v>
      </c>
      <c r="Y823" t="s">
        <v>240</v>
      </c>
      <c r="Z823" t="s">
        <v>110</v>
      </c>
      <c r="AA823" t="str">
        <f>"11238-2669"</f>
        <v>11238-2669</v>
      </c>
      <c r="AB823" t="s">
        <v>172</v>
      </c>
      <c r="AC823" t="s">
        <v>112</v>
      </c>
      <c r="AD823" t="s">
        <v>107</v>
      </c>
      <c r="AE823" t="s">
        <v>113</v>
      </c>
      <c r="AG823" t="s">
        <v>114</v>
      </c>
    </row>
    <row r="824" spans="1:35" x14ac:dyDescent="0.25">
      <c r="A824" t="str">
        <f>"1568559581"</f>
        <v>1568559581</v>
      </c>
      <c r="B824" t="str">
        <f>"00244353"</f>
        <v>00244353</v>
      </c>
      <c r="C824" t="s">
        <v>3408</v>
      </c>
      <c r="D824" t="s">
        <v>3409</v>
      </c>
      <c r="E824" t="s">
        <v>3410</v>
      </c>
      <c r="G824" t="s">
        <v>3411</v>
      </c>
      <c r="H824" t="s">
        <v>3412</v>
      </c>
      <c r="I824">
        <v>226</v>
      </c>
      <c r="J824" t="s">
        <v>3413</v>
      </c>
      <c r="L824" t="s">
        <v>3414</v>
      </c>
      <c r="M824" t="s">
        <v>167</v>
      </c>
      <c r="R824" t="s">
        <v>3415</v>
      </c>
      <c r="W824" t="s">
        <v>3416</v>
      </c>
      <c r="X824" t="s">
        <v>3417</v>
      </c>
      <c r="Y824" t="s">
        <v>481</v>
      </c>
      <c r="Z824" t="s">
        <v>110</v>
      </c>
      <c r="AA824" t="str">
        <f>"11427-2147"</f>
        <v>11427-2147</v>
      </c>
      <c r="AB824" t="s">
        <v>191</v>
      </c>
      <c r="AC824" t="s">
        <v>112</v>
      </c>
      <c r="AD824" t="s">
        <v>107</v>
      </c>
      <c r="AE824" t="s">
        <v>113</v>
      </c>
      <c r="AG824" t="s">
        <v>114</v>
      </c>
    </row>
    <row r="825" spans="1:35" x14ac:dyDescent="0.25">
      <c r="A825" t="str">
        <f>"1053511691"</f>
        <v>1053511691</v>
      </c>
      <c r="B825" t="str">
        <f>"03520096"</f>
        <v>03520096</v>
      </c>
      <c r="C825" t="s">
        <v>3418</v>
      </c>
      <c r="D825" t="s">
        <v>3419</v>
      </c>
      <c r="E825" t="s">
        <v>3420</v>
      </c>
      <c r="G825" t="s">
        <v>3421</v>
      </c>
      <c r="H825" t="s">
        <v>3422</v>
      </c>
      <c r="J825" t="s">
        <v>3423</v>
      </c>
      <c r="L825" t="s">
        <v>166</v>
      </c>
      <c r="M825" t="s">
        <v>167</v>
      </c>
      <c r="R825" t="s">
        <v>3424</v>
      </c>
      <c r="W825" t="s">
        <v>3420</v>
      </c>
      <c r="X825" t="s">
        <v>3425</v>
      </c>
      <c r="Y825" t="s">
        <v>342</v>
      </c>
      <c r="Z825" t="s">
        <v>110</v>
      </c>
      <c r="AA825" t="str">
        <f>"11419-1814"</f>
        <v>11419-1814</v>
      </c>
      <c r="AB825" t="s">
        <v>172</v>
      </c>
      <c r="AC825" t="s">
        <v>112</v>
      </c>
      <c r="AD825" t="s">
        <v>107</v>
      </c>
      <c r="AE825" t="s">
        <v>113</v>
      </c>
      <c r="AG825" t="s">
        <v>114</v>
      </c>
    </row>
    <row r="826" spans="1:35" x14ac:dyDescent="0.25">
      <c r="A826" t="str">
        <f>"1083931919"</f>
        <v>1083931919</v>
      </c>
      <c r="B826" t="str">
        <f>"03245301"</f>
        <v>03245301</v>
      </c>
      <c r="C826" t="s">
        <v>3426</v>
      </c>
      <c r="D826" t="s">
        <v>3427</v>
      </c>
      <c r="E826" t="s">
        <v>3428</v>
      </c>
      <c r="G826" t="s">
        <v>3421</v>
      </c>
      <c r="H826" t="s">
        <v>3429</v>
      </c>
      <c r="J826" t="s">
        <v>3423</v>
      </c>
      <c r="L826" t="s">
        <v>166</v>
      </c>
      <c r="M826" t="s">
        <v>107</v>
      </c>
      <c r="R826" t="s">
        <v>3430</v>
      </c>
      <c r="W826" t="s">
        <v>3428</v>
      </c>
      <c r="X826" t="s">
        <v>3431</v>
      </c>
      <c r="Y826" t="s">
        <v>3432</v>
      </c>
      <c r="Z826" t="s">
        <v>110</v>
      </c>
      <c r="AA826" t="str">
        <f>"11701-2719"</f>
        <v>11701-2719</v>
      </c>
      <c r="AB826" t="s">
        <v>172</v>
      </c>
      <c r="AC826" t="s">
        <v>112</v>
      </c>
      <c r="AD826" t="s">
        <v>107</v>
      </c>
      <c r="AE826" t="s">
        <v>113</v>
      </c>
      <c r="AG826" t="s">
        <v>114</v>
      </c>
    </row>
    <row r="827" spans="1:35" x14ac:dyDescent="0.25">
      <c r="A827" t="str">
        <f>"1295859023"</f>
        <v>1295859023</v>
      </c>
      <c r="B827" t="str">
        <f>"02653670"</f>
        <v>02653670</v>
      </c>
      <c r="C827" t="s">
        <v>3433</v>
      </c>
      <c r="D827" t="s">
        <v>3434</v>
      </c>
      <c r="E827" t="s">
        <v>3435</v>
      </c>
      <c r="G827" t="s">
        <v>3421</v>
      </c>
      <c r="H827" t="s">
        <v>3436</v>
      </c>
      <c r="J827" t="s">
        <v>3423</v>
      </c>
      <c r="L827" t="s">
        <v>215</v>
      </c>
      <c r="M827" t="s">
        <v>107</v>
      </c>
      <c r="R827" t="s">
        <v>3437</v>
      </c>
      <c r="W827" t="s">
        <v>3435</v>
      </c>
      <c r="X827" t="s">
        <v>2372</v>
      </c>
      <c r="Y827" t="s">
        <v>626</v>
      </c>
      <c r="Z827" t="s">
        <v>110</v>
      </c>
      <c r="AA827" t="str">
        <f>"11102-2448"</f>
        <v>11102-2448</v>
      </c>
      <c r="AB827" t="s">
        <v>172</v>
      </c>
      <c r="AC827" t="s">
        <v>112</v>
      </c>
      <c r="AD827" t="s">
        <v>107</v>
      </c>
      <c r="AE827" t="s">
        <v>113</v>
      </c>
      <c r="AG827" t="s">
        <v>114</v>
      </c>
    </row>
    <row r="828" spans="1:35" x14ac:dyDescent="0.25">
      <c r="A828" t="str">
        <f>"1740617315"</f>
        <v>1740617315</v>
      </c>
      <c r="C828" t="s">
        <v>3438</v>
      </c>
      <c r="G828" t="s">
        <v>3439</v>
      </c>
      <c r="H828" t="s">
        <v>3440</v>
      </c>
      <c r="I828">
        <v>107</v>
      </c>
      <c r="J828" t="s">
        <v>3441</v>
      </c>
      <c r="K828" t="s">
        <v>372</v>
      </c>
      <c r="L828" t="s">
        <v>373</v>
      </c>
      <c r="M828" t="s">
        <v>107</v>
      </c>
      <c r="R828" t="s">
        <v>3442</v>
      </c>
      <c r="S828" t="s">
        <v>3443</v>
      </c>
      <c r="T828" t="s">
        <v>836</v>
      </c>
      <c r="U828" t="s">
        <v>110</v>
      </c>
      <c r="V828" t="str">
        <f>"11420"</f>
        <v>11420</v>
      </c>
      <c r="AC828" t="s">
        <v>112</v>
      </c>
      <c r="AD828" t="s">
        <v>107</v>
      </c>
      <c r="AE828" t="s">
        <v>278</v>
      </c>
      <c r="AG828" t="s">
        <v>114</v>
      </c>
      <c r="AI828" t="s">
        <v>2284</v>
      </c>
    </row>
    <row r="829" spans="1:35" x14ac:dyDescent="0.25">
      <c r="A829" t="str">
        <f>"1780670919"</f>
        <v>1780670919</v>
      </c>
      <c r="B829" t="str">
        <f>"01272559"</f>
        <v>01272559</v>
      </c>
      <c r="C829" t="s">
        <v>3444</v>
      </c>
      <c r="D829" t="s">
        <v>3445</v>
      </c>
      <c r="E829" t="s">
        <v>3446</v>
      </c>
      <c r="G829" t="s">
        <v>163</v>
      </c>
      <c r="H829" t="s">
        <v>164</v>
      </c>
      <c r="J829" t="s">
        <v>165</v>
      </c>
      <c r="L829" t="s">
        <v>166</v>
      </c>
      <c r="M829" t="s">
        <v>167</v>
      </c>
      <c r="R829" t="s">
        <v>3447</v>
      </c>
      <c r="W829" t="s">
        <v>3446</v>
      </c>
      <c r="X829" t="s">
        <v>170</v>
      </c>
      <c r="Y829" t="s">
        <v>171</v>
      </c>
      <c r="Z829" t="s">
        <v>110</v>
      </c>
      <c r="AA829" t="str">
        <f>"11373-5156"</f>
        <v>11373-5156</v>
      </c>
      <c r="AB829" t="s">
        <v>172</v>
      </c>
      <c r="AC829" t="s">
        <v>112</v>
      </c>
      <c r="AD829" t="s">
        <v>107</v>
      </c>
      <c r="AE829" t="s">
        <v>113</v>
      </c>
      <c r="AG829" t="s">
        <v>114</v>
      </c>
    </row>
    <row r="830" spans="1:35" x14ac:dyDescent="0.25">
      <c r="A830" t="str">
        <f>"1689685380"</f>
        <v>1689685380</v>
      </c>
      <c r="B830" t="str">
        <f>"02726621"</f>
        <v>02726621</v>
      </c>
      <c r="C830" t="s">
        <v>3448</v>
      </c>
      <c r="D830" t="s">
        <v>3449</v>
      </c>
      <c r="E830" t="s">
        <v>3450</v>
      </c>
      <c r="G830" t="s">
        <v>1027</v>
      </c>
      <c r="H830" t="s">
        <v>1028</v>
      </c>
      <c r="J830" t="s">
        <v>1029</v>
      </c>
      <c r="L830" t="s">
        <v>117</v>
      </c>
      <c r="M830" t="s">
        <v>107</v>
      </c>
      <c r="R830" t="s">
        <v>3448</v>
      </c>
      <c r="W830" t="s">
        <v>3451</v>
      </c>
      <c r="X830" t="s">
        <v>3452</v>
      </c>
      <c r="Y830" t="s">
        <v>836</v>
      </c>
      <c r="Z830" t="s">
        <v>110</v>
      </c>
      <c r="AA830" t="str">
        <f>"11420-1034"</f>
        <v>11420-1034</v>
      </c>
      <c r="AB830" t="s">
        <v>172</v>
      </c>
      <c r="AC830" t="s">
        <v>112</v>
      </c>
      <c r="AD830" t="s">
        <v>107</v>
      </c>
      <c r="AE830" t="s">
        <v>113</v>
      </c>
      <c r="AG830" t="s">
        <v>114</v>
      </c>
    </row>
    <row r="831" spans="1:35" x14ac:dyDescent="0.25">
      <c r="A831" t="str">
        <f>"1134387079"</f>
        <v>1134387079</v>
      </c>
      <c r="B831" t="str">
        <f>"03258986"</f>
        <v>03258986</v>
      </c>
      <c r="C831" t="s">
        <v>3453</v>
      </c>
      <c r="D831" t="s">
        <v>3454</v>
      </c>
      <c r="E831" t="s">
        <v>3455</v>
      </c>
      <c r="G831" t="s">
        <v>212</v>
      </c>
      <c r="H831" t="s">
        <v>213</v>
      </c>
      <c r="J831" t="s">
        <v>214</v>
      </c>
      <c r="L831" t="s">
        <v>166</v>
      </c>
      <c r="M831" t="s">
        <v>167</v>
      </c>
      <c r="R831" t="s">
        <v>3453</v>
      </c>
      <c r="W831" t="s">
        <v>3455</v>
      </c>
      <c r="X831" t="s">
        <v>3456</v>
      </c>
      <c r="Y831" t="s">
        <v>325</v>
      </c>
      <c r="Z831" t="s">
        <v>110</v>
      </c>
      <c r="AA831" t="str">
        <f>"10003-3105"</f>
        <v>10003-3105</v>
      </c>
      <c r="AB831" t="s">
        <v>172</v>
      </c>
      <c r="AC831" t="s">
        <v>112</v>
      </c>
      <c r="AD831" t="s">
        <v>107</v>
      </c>
      <c r="AE831" t="s">
        <v>113</v>
      </c>
      <c r="AG831" t="s">
        <v>114</v>
      </c>
    </row>
    <row r="832" spans="1:35" x14ac:dyDescent="0.25">
      <c r="A832" t="str">
        <f>"1104896067"</f>
        <v>1104896067</v>
      </c>
      <c r="B832" t="str">
        <f>"00471678"</f>
        <v>00471678</v>
      </c>
      <c r="C832" t="s">
        <v>3457</v>
      </c>
      <c r="D832" t="s">
        <v>3458</v>
      </c>
      <c r="E832" t="s">
        <v>3459</v>
      </c>
      <c r="G832" t="s">
        <v>412</v>
      </c>
      <c r="H832" t="s">
        <v>413</v>
      </c>
      <c r="J832" t="s">
        <v>414</v>
      </c>
      <c r="L832" t="s">
        <v>106</v>
      </c>
      <c r="M832" t="s">
        <v>167</v>
      </c>
      <c r="R832" t="s">
        <v>3457</v>
      </c>
      <c r="W832" t="s">
        <v>3460</v>
      </c>
      <c r="X832" t="s">
        <v>3461</v>
      </c>
      <c r="Y832" t="s">
        <v>325</v>
      </c>
      <c r="Z832" t="s">
        <v>110</v>
      </c>
      <c r="AA832" t="str">
        <f>"10025"</f>
        <v>10025</v>
      </c>
      <c r="AB832" t="s">
        <v>172</v>
      </c>
      <c r="AC832" t="s">
        <v>112</v>
      </c>
      <c r="AD832" t="s">
        <v>107</v>
      </c>
      <c r="AE832" t="s">
        <v>113</v>
      </c>
      <c r="AG832" t="s">
        <v>114</v>
      </c>
    </row>
    <row r="833" spans="1:33" x14ac:dyDescent="0.25">
      <c r="A833" t="str">
        <f>"1144200882"</f>
        <v>1144200882</v>
      </c>
      <c r="B833" t="str">
        <f>"01876255"</f>
        <v>01876255</v>
      </c>
      <c r="C833" t="s">
        <v>3462</v>
      </c>
      <c r="D833" t="s">
        <v>3463</v>
      </c>
      <c r="E833" t="s">
        <v>3464</v>
      </c>
      <c r="G833" t="s">
        <v>203</v>
      </c>
      <c r="H833" t="s">
        <v>204</v>
      </c>
      <c r="J833" t="s">
        <v>205</v>
      </c>
      <c r="L833" t="s">
        <v>215</v>
      </c>
      <c r="M833" t="s">
        <v>107</v>
      </c>
      <c r="R833" t="s">
        <v>3462</v>
      </c>
      <c r="W833" t="s">
        <v>3464</v>
      </c>
      <c r="X833" t="s">
        <v>3465</v>
      </c>
      <c r="Y833" t="s">
        <v>1159</v>
      </c>
      <c r="Z833" t="s">
        <v>110</v>
      </c>
      <c r="AA833" t="str">
        <f>"11377-4469"</f>
        <v>11377-4469</v>
      </c>
      <c r="AB833" t="s">
        <v>172</v>
      </c>
      <c r="AC833" t="s">
        <v>112</v>
      </c>
      <c r="AD833" t="s">
        <v>107</v>
      </c>
      <c r="AE833" t="s">
        <v>113</v>
      </c>
      <c r="AG833" t="s">
        <v>114</v>
      </c>
    </row>
    <row r="834" spans="1:33" x14ac:dyDescent="0.25">
      <c r="A834" t="str">
        <f>"1407849490"</f>
        <v>1407849490</v>
      </c>
      <c r="B834" t="str">
        <f>"00309022"</f>
        <v>00309022</v>
      </c>
      <c r="C834" t="s">
        <v>3466</v>
      </c>
      <c r="D834" t="s">
        <v>3467</v>
      </c>
      <c r="E834" t="s">
        <v>3468</v>
      </c>
      <c r="G834" t="s">
        <v>3469</v>
      </c>
      <c r="H834" t="s">
        <v>245</v>
      </c>
      <c r="I834">
        <v>3484</v>
      </c>
      <c r="J834" t="s">
        <v>246</v>
      </c>
      <c r="L834" t="s">
        <v>405</v>
      </c>
      <c r="M834" t="s">
        <v>167</v>
      </c>
      <c r="R834" t="s">
        <v>3470</v>
      </c>
      <c r="W834" t="s">
        <v>3468</v>
      </c>
      <c r="X834" t="s">
        <v>1827</v>
      </c>
      <c r="Y834" t="s">
        <v>225</v>
      </c>
      <c r="Z834" t="s">
        <v>110</v>
      </c>
      <c r="AA834" t="str">
        <f>"11355-2629"</f>
        <v>11355-2629</v>
      </c>
      <c r="AB834" t="s">
        <v>408</v>
      </c>
      <c r="AC834" t="s">
        <v>112</v>
      </c>
      <c r="AD834" t="s">
        <v>107</v>
      </c>
      <c r="AE834" t="s">
        <v>113</v>
      </c>
      <c r="AG834" t="s">
        <v>114</v>
      </c>
    </row>
    <row r="835" spans="1:33" x14ac:dyDescent="0.25">
      <c r="A835" t="str">
        <f>"1336347251"</f>
        <v>1336347251</v>
      </c>
      <c r="B835" t="str">
        <f>"02738301"</f>
        <v>02738301</v>
      </c>
      <c r="C835" t="s">
        <v>3471</v>
      </c>
      <c r="D835" t="s">
        <v>3472</v>
      </c>
      <c r="E835" t="s">
        <v>3473</v>
      </c>
      <c r="G835" t="s">
        <v>3474</v>
      </c>
      <c r="H835" t="s">
        <v>1028</v>
      </c>
      <c r="J835" t="s">
        <v>1029</v>
      </c>
      <c r="L835" t="s">
        <v>65</v>
      </c>
      <c r="M835" t="s">
        <v>167</v>
      </c>
      <c r="R835" t="s">
        <v>3475</v>
      </c>
      <c r="W835" t="s">
        <v>3476</v>
      </c>
      <c r="X835" t="s">
        <v>3477</v>
      </c>
      <c r="Y835" t="s">
        <v>3478</v>
      </c>
      <c r="Z835" t="s">
        <v>110</v>
      </c>
      <c r="AA835" t="str">
        <f>"11694-2412"</f>
        <v>11694-2412</v>
      </c>
      <c r="AB835" t="s">
        <v>546</v>
      </c>
      <c r="AC835" t="s">
        <v>112</v>
      </c>
      <c r="AD835" t="s">
        <v>107</v>
      </c>
      <c r="AE835" t="s">
        <v>113</v>
      </c>
      <c r="AG835" t="s">
        <v>114</v>
      </c>
    </row>
    <row r="836" spans="1:33" x14ac:dyDescent="0.25">
      <c r="A836" t="str">
        <f>"1528231016"</f>
        <v>1528231016</v>
      </c>
      <c r="B836" t="str">
        <f>"03417856"</f>
        <v>03417856</v>
      </c>
      <c r="C836" t="s">
        <v>3479</v>
      </c>
      <c r="D836" t="s">
        <v>3480</v>
      </c>
      <c r="E836" t="s">
        <v>3481</v>
      </c>
      <c r="G836" t="s">
        <v>212</v>
      </c>
      <c r="H836" t="s">
        <v>213</v>
      </c>
      <c r="J836" t="s">
        <v>214</v>
      </c>
      <c r="L836" t="s">
        <v>166</v>
      </c>
      <c r="M836" t="s">
        <v>167</v>
      </c>
      <c r="R836" t="s">
        <v>3479</v>
      </c>
      <c r="W836" t="s">
        <v>3481</v>
      </c>
      <c r="X836" t="s">
        <v>3482</v>
      </c>
      <c r="Y836" t="s">
        <v>240</v>
      </c>
      <c r="Z836" t="s">
        <v>110</v>
      </c>
      <c r="AA836" t="str">
        <f>"11201-4300"</f>
        <v>11201-4300</v>
      </c>
      <c r="AB836" t="s">
        <v>172</v>
      </c>
      <c r="AC836" t="s">
        <v>112</v>
      </c>
      <c r="AD836" t="s">
        <v>107</v>
      </c>
      <c r="AE836" t="s">
        <v>113</v>
      </c>
      <c r="AG836" t="s">
        <v>114</v>
      </c>
    </row>
    <row r="837" spans="1:33" x14ac:dyDescent="0.25">
      <c r="A837" t="str">
        <f>"1164519237"</f>
        <v>1164519237</v>
      </c>
      <c r="B837" t="str">
        <f>"02384825"</f>
        <v>02384825</v>
      </c>
      <c r="C837" t="s">
        <v>3483</v>
      </c>
      <c r="D837" t="s">
        <v>3484</v>
      </c>
      <c r="E837" t="s">
        <v>3485</v>
      </c>
      <c r="G837" t="s">
        <v>212</v>
      </c>
      <c r="H837" t="s">
        <v>213</v>
      </c>
      <c r="J837" t="s">
        <v>214</v>
      </c>
      <c r="L837" t="s">
        <v>166</v>
      </c>
      <c r="M837" t="s">
        <v>107</v>
      </c>
      <c r="R837" t="s">
        <v>3483</v>
      </c>
      <c r="W837" t="s">
        <v>3485</v>
      </c>
      <c r="X837" t="s">
        <v>2837</v>
      </c>
      <c r="Y837" t="s">
        <v>3486</v>
      </c>
      <c r="Z837" t="s">
        <v>110</v>
      </c>
      <c r="AA837" t="str">
        <f>"11106"</f>
        <v>11106</v>
      </c>
      <c r="AB837" t="s">
        <v>172</v>
      </c>
      <c r="AC837" t="s">
        <v>112</v>
      </c>
      <c r="AD837" t="s">
        <v>107</v>
      </c>
      <c r="AE837" t="s">
        <v>113</v>
      </c>
      <c r="AG837" t="s">
        <v>114</v>
      </c>
    </row>
    <row r="838" spans="1:33" x14ac:dyDescent="0.25">
      <c r="A838" t="str">
        <f>"1144204215"</f>
        <v>1144204215</v>
      </c>
      <c r="B838" t="str">
        <f>"00465114"</f>
        <v>00465114</v>
      </c>
      <c r="C838" t="s">
        <v>3487</v>
      </c>
      <c r="D838" t="s">
        <v>3488</v>
      </c>
      <c r="E838" t="s">
        <v>3489</v>
      </c>
      <c r="G838" t="s">
        <v>402</v>
      </c>
      <c r="H838" t="s">
        <v>403</v>
      </c>
      <c r="J838" t="s">
        <v>404</v>
      </c>
      <c r="L838" t="s">
        <v>215</v>
      </c>
      <c r="M838" t="s">
        <v>107</v>
      </c>
      <c r="R838" t="s">
        <v>3487</v>
      </c>
      <c r="W838" t="s">
        <v>3489</v>
      </c>
      <c r="X838" t="s">
        <v>3490</v>
      </c>
      <c r="Y838" t="s">
        <v>1325</v>
      </c>
      <c r="Z838" t="s">
        <v>110</v>
      </c>
      <c r="AA838" t="str">
        <f>"11379-2900"</f>
        <v>11379-2900</v>
      </c>
      <c r="AB838" t="s">
        <v>172</v>
      </c>
      <c r="AC838" t="s">
        <v>112</v>
      </c>
      <c r="AD838" t="s">
        <v>107</v>
      </c>
      <c r="AE838" t="s">
        <v>113</v>
      </c>
      <c r="AG838" t="s">
        <v>114</v>
      </c>
    </row>
    <row r="839" spans="1:33" x14ac:dyDescent="0.25">
      <c r="A839" t="str">
        <f>"1154366474"</f>
        <v>1154366474</v>
      </c>
      <c r="B839" t="str">
        <f>"01621769"</f>
        <v>01621769</v>
      </c>
      <c r="C839" t="s">
        <v>3491</v>
      </c>
      <c r="D839" t="s">
        <v>3492</v>
      </c>
      <c r="E839" t="s">
        <v>3493</v>
      </c>
      <c r="G839" t="s">
        <v>195</v>
      </c>
      <c r="H839" t="s">
        <v>196</v>
      </c>
      <c r="J839" t="s">
        <v>197</v>
      </c>
      <c r="L839" t="s">
        <v>166</v>
      </c>
      <c r="M839" t="s">
        <v>167</v>
      </c>
      <c r="R839" t="s">
        <v>3491</v>
      </c>
      <c r="W839" t="s">
        <v>3493</v>
      </c>
      <c r="X839" t="s">
        <v>3494</v>
      </c>
      <c r="Y839" t="s">
        <v>225</v>
      </c>
      <c r="Z839" t="s">
        <v>110</v>
      </c>
      <c r="AA839" t="str">
        <f>"11355-1126"</f>
        <v>11355-1126</v>
      </c>
      <c r="AB839" t="s">
        <v>172</v>
      </c>
      <c r="AC839" t="s">
        <v>112</v>
      </c>
      <c r="AD839" t="s">
        <v>107</v>
      </c>
      <c r="AE839" t="s">
        <v>113</v>
      </c>
      <c r="AG839" t="s">
        <v>114</v>
      </c>
    </row>
    <row r="840" spans="1:33" x14ac:dyDescent="0.25">
      <c r="A840" t="str">
        <f>"1992898639"</f>
        <v>1992898639</v>
      </c>
      <c r="B840" t="str">
        <f>"02235110"</f>
        <v>02235110</v>
      </c>
      <c r="C840" t="s">
        <v>3495</v>
      </c>
      <c r="D840" t="s">
        <v>3496</v>
      </c>
      <c r="E840" t="s">
        <v>3497</v>
      </c>
      <c r="G840" t="s">
        <v>212</v>
      </c>
      <c r="H840" t="s">
        <v>213</v>
      </c>
      <c r="J840" t="s">
        <v>214</v>
      </c>
      <c r="L840" t="s">
        <v>215</v>
      </c>
      <c r="M840" t="s">
        <v>167</v>
      </c>
      <c r="R840" t="s">
        <v>3495</v>
      </c>
      <c r="W840" t="s">
        <v>3497</v>
      </c>
      <c r="X840" t="s">
        <v>2825</v>
      </c>
      <c r="Y840" t="s">
        <v>1253</v>
      </c>
      <c r="Z840" t="s">
        <v>110</v>
      </c>
      <c r="AA840" t="str">
        <f>"11106-4705"</f>
        <v>11106-4705</v>
      </c>
      <c r="AB840" t="s">
        <v>1044</v>
      </c>
      <c r="AC840" t="s">
        <v>112</v>
      </c>
      <c r="AD840" t="s">
        <v>107</v>
      </c>
      <c r="AE840" t="s">
        <v>113</v>
      </c>
      <c r="AG840" t="s">
        <v>114</v>
      </c>
    </row>
    <row r="841" spans="1:33" x14ac:dyDescent="0.25">
      <c r="A841" t="str">
        <f>"1801220736"</f>
        <v>1801220736</v>
      </c>
      <c r="C841" t="s">
        <v>3498</v>
      </c>
      <c r="G841" t="s">
        <v>273</v>
      </c>
      <c r="H841" t="s">
        <v>274</v>
      </c>
      <c r="J841" t="s">
        <v>275</v>
      </c>
      <c r="K841" t="s">
        <v>276</v>
      </c>
      <c r="L841" t="s">
        <v>106</v>
      </c>
      <c r="M841" t="s">
        <v>107</v>
      </c>
      <c r="R841" t="s">
        <v>3499</v>
      </c>
      <c r="S841" t="s">
        <v>3500</v>
      </c>
      <c r="T841" t="s">
        <v>240</v>
      </c>
      <c r="U841" t="s">
        <v>110</v>
      </c>
      <c r="V841" t="str">
        <f>"11237"</f>
        <v>11237</v>
      </c>
      <c r="AC841" t="s">
        <v>112</v>
      </c>
      <c r="AD841" t="s">
        <v>107</v>
      </c>
      <c r="AE841" t="s">
        <v>278</v>
      </c>
      <c r="AG841" t="s">
        <v>114</v>
      </c>
    </row>
    <row r="842" spans="1:33" x14ac:dyDescent="0.25">
      <c r="A842" t="str">
        <f>"1518235134"</f>
        <v>1518235134</v>
      </c>
      <c r="B842" t="str">
        <f>"03426762"</f>
        <v>03426762</v>
      </c>
      <c r="C842" t="s">
        <v>3501</v>
      </c>
      <c r="D842" t="s">
        <v>3502</v>
      </c>
      <c r="E842" t="s">
        <v>3503</v>
      </c>
      <c r="G842" t="s">
        <v>212</v>
      </c>
      <c r="H842" t="s">
        <v>213</v>
      </c>
      <c r="J842" t="s">
        <v>214</v>
      </c>
      <c r="L842" t="s">
        <v>215</v>
      </c>
      <c r="M842" t="s">
        <v>167</v>
      </c>
      <c r="R842" t="s">
        <v>3501</v>
      </c>
      <c r="W842" t="s">
        <v>3504</v>
      </c>
      <c r="X842" t="s">
        <v>1314</v>
      </c>
      <c r="Y842" t="s">
        <v>1315</v>
      </c>
      <c r="Z842" t="s">
        <v>110</v>
      </c>
      <c r="AA842" t="str">
        <f>"11418-2618"</f>
        <v>11418-2618</v>
      </c>
      <c r="AB842" t="s">
        <v>1044</v>
      </c>
      <c r="AC842" t="s">
        <v>112</v>
      </c>
      <c r="AD842" t="s">
        <v>107</v>
      </c>
      <c r="AE842" t="s">
        <v>113</v>
      </c>
      <c r="AG842" t="s">
        <v>114</v>
      </c>
    </row>
    <row r="843" spans="1:33" x14ac:dyDescent="0.25">
      <c r="A843" t="str">
        <f>"1467529529"</f>
        <v>1467529529</v>
      </c>
      <c r="B843" t="str">
        <f>"02999737"</f>
        <v>02999737</v>
      </c>
      <c r="C843" t="s">
        <v>3505</v>
      </c>
      <c r="D843" t="s">
        <v>1543</v>
      </c>
      <c r="E843" t="s">
        <v>1542</v>
      </c>
      <c r="G843" t="s">
        <v>1544</v>
      </c>
      <c r="H843" t="s">
        <v>1545</v>
      </c>
      <c r="J843" t="s">
        <v>1546</v>
      </c>
      <c r="L843" t="s">
        <v>1547</v>
      </c>
      <c r="M843" t="s">
        <v>167</v>
      </c>
      <c r="R843" t="s">
        <v>1548</v>
      </c>
      <c r="W843" t="s">
        <v>1548</v>
      </c>
      <c r="X843" t="s">
        <v>1549</v>
      </c>
      <c r="Y843" t="s">
        <v>240</v>
      </c>
      <c r="Z843" t="s">
        <v>110</v>
      </c>
      <c r="AA843" t="str">
        <f>"11216-2636"</f>
        <v>11216-2636</v>
      </c>
      <c r="AB843" t="s">
        <v>184</v>
      </c>
      <c r="AC843" t="s">
        <v>112</v>
      </c>
      <c r="AD843" t="s">
        <v>107</v>
      </c>
      <c r="AE843" t="s">
        <v>113</v>
      </c>
      <c r="AG843" t="s">
        <v>114</v>
      </c>
    </row>
    <row r="844" spans="1:33" x14ac:dyDescent="0.25">
      <c r="A844" t="str">
        <f>"1942491691"</f>
        <v>1942491691</v>
      </c>
      <c r="B844" t="str">
        <f>"02999782"</f>
        <v>02999782</v>
      </c>
      <c r="C844" t="s">
        <v>3505</v>
      </c>
      <c r="D844" t="s">
        <v>1543</v>
      </c>
      <c r="E844" t="s">
        <v>1542</v>
      </c>
      <c r="G844" t="s">
        <v>1544</v>
      </c>
      <c r="H844" t="s">
        <v>1545</v>
      </c>
      <c r="J844" t="s">
        <v>1546</v>
      </c>
      <c r="L844" t="s">
        <v>1547</v>
      </c>
      <c r="M844" t="s">
        <v>167</v>
      </c>
      <c r="R844" t="s">
        <v>1548</v>
      </c>
      <c r="W844" t="s">
        <v>1542</v>
      </c>
      <c r="X844" t="s">
        <v>1549</v>
      </c>
      <c r="Y844" t="s">
        <v>240</v>
      </c>
      <c r="Z844" t="s">
        <v>110</v>
      </c>
      <c r="AA844" t="str">
        <f>"11216-2636"</f>
        <v>11216-2636</v>
      </c>
      <c r="AB844" t="s">
        <v>184</v>
      </c>
      <c r="AC844" t="s">
        <v>112</v>
      </c>
      <c r="AD844" t="s">
        <v>107</v>
      </c>
      <c r="AE844" t="s">
        <v>113</v>
      </c>
      <c r="AG844" t="s">
        <v>114</v>
      </c>
    </row>
    <row r="845" spans="1:33" x14ac:dyDescent="0.25">
      <c r="A845" t="str">
        <f>"1497999122"</f>
        <v>1497999122</v>
      </c>
      <c r="B845" t="str">
        <f>"02696037"</f>
        <v>02696037</v>
      </c>
      <c r="C845" t="s">
        <v>3506</v>
      </c>
      <c r="D845" t="s">
        <v>3507</v>
      </c>
      <c r="E845" t="s">
        <v>3508</v>
      </c>
      <c r="G845" t="s">
        <v>176</v>
      </c>
      <c r="H845" t="s">
        <v>177</v>
      </c>
      <c r="I845">
        <v>3264</v>
      </c>
      <c r="J845" t="s">
        <v>178</v>
      </c>
      <c r="L845" t="s">
        <v>166</v>
      </c>
      <c r="M845" t="s">
        <v>167</v>
      </c>
      <c r="R845" t="s">
        <v>3506</v>
      </c>
      <c r="W845" t="s">
        <v>3509</v>
      </c>
      <c r="X845" t="s">
        <v>3510</v>
      </c>
      <c r="Y845" t="s">
        <v>422</v>
      </c>
      <c r="Z845" t="s">
        <v>110</v>
      </c>
      <c r="AA845" t="str">
        <f>"11432-0000"</f>
        <v>11432-0000</v>
      </c>
      <c r="AB845" t="s">
        <v>172</v>
      </c>
      <c r="AC845" t="s">
        <v>112</v>
      </c>
      <c r="AD845" t="s">
        <v>107</v>
      </c>
      <c r="AE845" t="s">
        <v>113</v>
      </c>
      <c r="AG845" t="s">
        <v>114</v>
      </c>
    </row>
    <row r="846" spans="1:33" x14ac:dyDescent="0.25">
      <c r="A846" t="str">
        <f>"1972926681"</f>
        <v>1972926681</v>
      </c>
      <c r="B846" t="str">
        <f>"02996110"</f>
        <v>02996110</v>
      </c>
      <c r="C846" t="s">
        <v>3511</v>
      </c>
      <c r="D846" t="s">
        <v>3512</v>
      </c>
      <c r="E846" t="s">
        <v>3513</v>
      </c>
      <c r="G846" t="s">
        <v>3514</v>
      </c>
      <c r="H846" t="s">
        <v>204</v>
      </c>
      <c r="J846" t="s">
        <v>205</v>
      </c>
      <c r="L846" t="s">
        <v>405</v>
      </c>
      <c r="M846" t="s">
        <v>167</v>
      </c>
      <c r="R846" t="s">
        <v>3515</v>
      </c>
      <c r="W846" t="s">
        <v>3516</v>
      </c>
      <c r="X846" t="s">
        <v>3517</v>
      </c>
      <c r="Y846" t="s">
        <v>1159</v>
      </c>
      <c r="Z846" t="s">
        <v>110</v>
      </c>
      <c r="AA846" t="str">
        <f>"11377-4965"</f>
        <v>11377-4965</v>
      </c>
      <c r="AB846" t="s">
        <v>408</v>
      </c>
      <c r="AC846" t="s">
        <v>112</v>
      </c>
      <c r="AD846" t="s">
        <v>107</v>
      </c>
      <c r="AE846" t="s">
        <v>113</v>
      </c>
      <c r="AG846" t="s">
        <v>114</v>
      </c>
    </row>
    <row r="847" spans="1:33" x14ac:dyDescent="0.25">
      <c r="A847" t="str">
        <f>"1144271784"</f>
        <v>1144271784</v>
      </c>
      <c r="B847" t="str">
        <f>"02743593"</f>
        <v>02743593</v>
      </c>
      <c r="C847" t="s">
        <v>3518</v>
      </c>
      <c r="D847" t="s">
        <v>3519</v>
      </c>
      <c r="E847" t="s">
        <v>3520</v>
      </c>
      <c r="G847" t="s">
        <v>251</v>
      </c>
      <c r="H847" t="s">
        <v>252</v>
      </c>
      <c r="I847">
        <v>215</v>
      </c>
      <c r="J847" t="s">
        <v>253</v>
      </c>
      <c r="L847" t="s">
        <v>106</v>
      </c>
      <c r="M847" t="s">
        <v>107</v>
      </c>
      <c r="R847" t="s">
        <v>3518</v>
      </c>
      <c r="W847" t="s">
        <v>3520</v>
      </c>
      <c r="X847" t="s">
        <v>3521</v>
      </c>
      <c r="Y847" t="s">
        <v>1001</v>
      </c>
      <c r="Z847" t="s">
        <v>110</v>
      </c>
      <c r="AA847" t="str">
        <f>"11691-5002"</f>
        <v>11691-5002</v>
      </c>
      <c r="AB847" t="s">
        <v>172</v>
      </c>
      <c r="AC847" t="s">
        <v>112</v>
      </c>
      <c r="AD847" t="s">
        <v>107</v>
      </c>
      <c r="AE847" t="s">
        <v>113</v>
      </c>
      <c r="AG847" t="s">
        <v>114</v>
      </c>
    </row>
    <row r="848" spans="1:33" x14ac:dyDescent="0.25">
      <c r="A848" t="str">
        <f>"1538494448"</f>
        <v>1538494448</v>
      </c>
      <c r="B848" t="str">
        <f>"03174256"</f>
        <v>03174256</v>
      </c>
      <c r="C848" t="s">
        <v>3522</v>
      </c>
      <c r="D848" t="s">
        <v>3523</v>
      </c>
      <c r="E848" t="s">
        <v>3522</v>
      </c>
      <c r="G848" t="s">
        <v>212</v>
      </c>
      <c r="H848" t="s">
        <v>213</v>
      </c>
      <c r="J848" t="s">
        <v>214</v>
      </c>
      <c r="L848" t="s">
        <v>166</v>
      </c>
      <c r="M848" t="s">
        <v>167</v>
      </c>
      <c r="R848" t="s">
        <v>3522</v>
      </c>
      <c r="W848" t="s">
        <v>3524</v>
      </c>
      <c r="X848" t="s">
        <v>3525</v>
      </c>
      <c r="Y848" t="s">
        <v>3526</v>
      </c>
      <c r="Z848" t="s">
        <v>110</v>
      </c>
      <c r="AA848" t="str">
        <f>"10065-4885"</f>
        <v>10065-4885</v>
      </c>
      <c r="AB848" t="s">
        <v>172</v>
      </c>
      <c r="AC848" t="s">
        <v>112</v>
      </c>
      <c r="AD848" t="s">
        <v>107</v>
      </c>
      <c r="AE848" t="s">
        <v>113</v>
      </c>
      <c r="AG848" t="s">
        <v>114</v>
      </c>
    </row>
    <row r="849" spans="1:33" x14ac:dyDescent="0.25">
      <c r="A849" t="str">
        <f>"1790850998"</f>
        <v>1790850998</v>
      </c>
      <c r="B849" t="str">
        <f>"02748396"</f>
        <v>02748396</v>
      </c>
      <c r="C849" t="s">
        <v>3527</v>
      </c>
      <c r="D849" t="s">
        <v>3528</v>
      </c>
      <c r="E849" t="s">
        <v>3529</v>
      </c>
      <c r="G849" t="s">
        <v>465</v>
      </c>
      <c r="H849" t="s">
        <v>466</v>
      </c>
      <c r="J849" t="s">
        <v>467</v>
      </c>
      <c r="L849" t="s">
        <v>166</v>
      </c>
      <c r="M849" t="s">
        <v>107</v>
      </c>
      <c r="R849" t="s">
        <v>3527</v>
      </c>
      <c r="W849" t="s">
        <v>3529</v>
      </c>
      <c r="X849" t="s">
        <v>3530</v>
      </c>
      <c r="Y849" t="s">
        <v>422</v>
      </c>
      <c r="Z849" t="s">
        <v>110</v>
      </c>
      <c r="AA849" t="str">
        <f>"11418-2619"</f>
        <v>11418-2619</v>
      </c>
      <c r="AB849" t="s">
        <v>172</v>
      </c>
      <c r="AC849" t="s">
        <v>112</v>
      </c>
      <c r="AD849" t="s">
        <v>107</v>
      </c>
      <c r="AE849" t="s">
        <v>113</v>
      </c>
      <c r="AG849" t="s">
        <v>114</v>
      </c>
    </row>
    <row r="850" spans="1:33" x14ac:dyDescent="0.25">
      <c r="A850" t="str">
        <f>"1902035272"</f>
        <v>1902035272</v>
      </c>
      <c r="B850" t="str">
        <f>"04180618"</f>
        <v>04180618</v>
      </c>
      <c r="C850" t="s">
        <v>3531</v>
      </c>
      <c r="D850" t="s">
        <v>3532</v>
      </c>
      <c r="E850" t="s">
        <v>3533</v>
      </c>
      <c r="G850" t="s">
        <v>1027</v>
      </c>
      <c r="H850" t="s">
        <v>1028</v>
      </c>
      <c r="J850" t="s">
        <v>1029</v>
      </c>
      <c r="L850" t="s">
        <v>117</v>
      </c>
      <c r="M850" t="s">
        <v>107</v>
      </c>
      <c r="R850" t="s">
        <v>3531</v>
      </c>
      <c r="W850" t="s">
        <v>3533</v>
      </c>
      <c r="X850" t="s">
        <v>725</v>
      </c>
      <c r="Y850" t="s">
        <v>399</v>
      </c>
      <c r="Z850" t="s">
        <v>110</v>
      </c>
      <c r="AA850" t="str">
        <f>"11040-1402"</f>
        <v>11040-1402</v>
      </c>
      <c r="AB850" t="s">
        <v>172</v>
      </c>
      <c r="AC850" t="s">
        <v>112</v>
      </c>
      <c r="AD850" t="s">
        <v>107</v>
      </c>
      <c r="AE850" t="s">
        <v>113</v>
      </c>
      <c r="AG850" t="s">
        <v>114</v>
      </c>
    </row>
    <row r="851" spans="1:33" x14ac:dyDescent="0.25">
      <c r="A851" t="str">
        <f>"1457483042"</f>
        <v>1457483042</v>
      </c>
      <c r="B851" t="str">
        <f>"02538892"</f>
        <v>02538892</v>
      </c>
      <c r="C851" t="s">
        <v>3534</v>
      </c>
      <c r="D851" t="s">
        <v>3535</v>
      </c>
      <c r="E851" t="s">
        <v>3536</v>
      </c>
      <c r="G851" t="s">
        <v>195</v>
      </c>
      <c r="H851" t="s">
        <v>196</v>
      </c>
      <c r="J851" t="s">
        <v>197</v>
      </c>
      <c r="L851" t="s">
        <v>117</v>
      </c>
      <c r="M851" t="s">
        <v>167</v>
      </c>
      <c r="R851" t="s">
        <v>3534</v>
      </c>
      <c r="W851" t="s">
        <v>3536</v>
      </c>
      <c r="X851" t="s">
        <v>3537</v>
      </c>
      <c r="Y851" t="s">
        <v>207</v>
      </c>
      <c r="Z851" t="s">
        <v>110</v>
      </c>
      <c r="AA851" t="str">
        <f>"11375-6585"</f>
        <v>11375-6585</v>
      </c>
      <c r="AB851" t="s">
        <v>172</v>
      </c>
      <c r="AC851" t="s">
        <v>112</v>
      </c>
      <c r="AD851" t="s">
        <v>107</v>
      </c>
      <c r="AE851" t="s">
        <v>113</v>
      </c>
      <c r="AG851" t="s">
        <v>114</v>
      </c>
    </row>
    <row r="852" spans="1:33" x14ac:dyDescent="0.25">
      <c r="A852" t="str">
        <f>"1760696413"</f>
        <v>1760696413</v>
      </c>
      <c r="B852" t="str">
        <f>"03033089"</f>
        <v>03033089</v>
      </c>
      <c r="C852" t="s">
        <v>3538</v>
      </c>
      <c r="D852" t="s">
        <v>3539</v>
      </c>
      <c r="E852" t="s">
        <v>3540</v>
      </c>
      <c r="G852" t="s">
        <v>176</v>
      </c>
      <c r="H852" t="s">
        <v>177</v>
      </c>
      <c r="I852">
        <v>3264</v>
      </c>
      <c r="J852" t="s">
        <v>178</v>
      </c>
      <c r="L852" t="s">
        <v>166</v>
      </c>
      <c r="M852" t="s">
        <v>107</v>
      </c>
      <c r="R852" t="s">
        <v>3538</v>
      </c>
      <c r="W852" t="s">
        <v>3541</v>
      </c>
      <c r="X852" t="s">
        <v>556</v>
      </c>
      <c r="Y852" t="s">
        <v>183</v>
      </c>
      <c r="Z852" t="s">
        <v>110</v>
      </c>
      <c r="AA852" t="str">
        <f>"10452-2001"</f>
        <v>10452-2001</v>
      </c>
      <c r="AB852" t="s">
        <v>172</v>
      </c>
      <c r="AC852" t="s">
        <v>112</v>
      </c>
      <c r="AD852" t="s">
        <v>107</v>
      </c>
      <c r="AE852" t="s">
        <v>113</v>
      </c>
      <c r="AG852" t="s">
        <v>114</v>
      </c>
    </row>
    <row r="853" spans="1:33" x14ac:dyDescent="0.25">
      <c r="A853" t="str">
        <f>"1558379628"</f>
        <v>1558379628</v>
      </c>
      <c r="B853" t="str">
        <f>"02586107"</f>
        <v>02586107</v>
      </c>
      <c r="C853" t="s">
        <v>3542</v>
      </c>
      <c r="D853" t="s">
        <v>3543</v>
      </c>
      <c r="E853" t="s">
        <v>3544</v>
      </c>
      <c r="G853" t="s">
        <v>212</v>
      </c>
      <c r="H853" t="s">
        <v>213</v>
      </c>
      <c r="J853" t="s">
        <v>214</v>
      </c>
      <c r="L853" t="s">
        <v>166</v>
      </c>
      <c r="M853" t="s">
        <v>167</v>
      </c>
      <c r="R853" t="s">
        <v>3542</v>
      </c>
      <c r="W853" t="s">
        <v>3544</v>
      </c>
      <c r="X853" t="s">
        <v>732</v>
      </c>
      <c r="Y853" t="s">
        <v>356</v>
      </c>
      <c r="Z853" t="s">
        <v>110</v>
      </c>
      <c r="AA853" t="str">
        <f>"10701-4004"</f>
        <v>10701-4004</v>
      </c>
      <c r="AB853" t="s">
        <v>172</v>
      </c>
      <c r="AC853" t="s">
        <v>112</v>
      </c>
      <c r="AD853" t="s">
        <v>107</v>
      </c>
      <c r="AE853" t="s">
        <v>113</v>
      </c>
      <c r="AG853" t="s">
        <v>114</v>
      </c>
    </row>
    <row r="854" spans="1:33" x14ac:dyDescent="0.25">
      <c r="A854" t="str">
        <f>"1285853549"</f>
        <v>1285853549</v>
      </c>
      <c r="B854" t="str">
        <f>"02230537"</f>
        <v>02230537</v>
      </c>
      <c r="C854" t="s">
        <v>3545</v>
      </c>
      <c r="D854" t="s">
        <v>3546</v>
      </c>
      <c r="E854" t="s">
        <v>3545</v>
      </c>
      <c r="G854" t="s">
        <v>212</v>
      </c>
      <c r="H854" t="s">
        <v>213</v>
      </c>
      <c r="J854" t="s">
        <v>214</v>
      </c>
      <c r="L854" t="s">
        <v>166</v>
      </c>
      <c r="M854" t="s">
        <v>107</v>
      </c>
      <c r="R854" t="s">
        <v>3545</v>
      </c>
      <c r="W854" t="s">
        <v>3545</v>
      </c>
      <c r="X854" t="s">
        <v>3545</v>
      </c>
      <c r="Y854" t="s">
        <v>240</v>
      </c>
      <c r="Z854" t="s">
        <v>110</v>
      </c>
      <c r="AA854" t="str">
        <f>"11225-5417"</f>
        <v>11225-5417</v>
      </c>
      <c r="AB854" t="s">
        <v>1044</v>
      </c>
      <c r="AC854" t="s">
        <v>112</v>
      </c>
      <c r="AD854" t="s">
        <v>107</v>
      </c>
      <c r="AE854" t="s">
        <v>113</v>
      </c>
      <c r="AG854" t="s">
        <v>114</v>
      </c>
    </row>
    <row r="855" spans="1:33" x14ac:dyDescent="0.25">
      <c r="A855" t="str">
        <f>"1982983813"</f>
        <v>1982983813</v>
      </c>
      <c r="B855" t="str">
        <f>"03433630"</f>
        <v>03433630</v>
      </c>
      <c r="C855" t="s">
        <v>3547</v>
      </c>
      <c r="D855" t="s">
        <v>3548</v>
      </c>
      <c r="E855" t="s">
        <v>3547</v>
      </c>
      <c r="G855" t="s">
        <v>736</v>
      </c>
      <c r="H855" t="s">
        <v>737</v>
      </c>
      <c r="I855">
        <v>1108</v>
      </c>
      <c r="J855" t="s">
        <v>738</v>
      </c>
      <c r="L855" t="s">
        <v>215</v>
      </c>
      <c r="M855" t="s">
        <v>107</v>
      </c>
      <c r="R855" t="s">
        <v>3547</v>
      </c>
      <c r="W855" t="s">
        <v>3547</v>
      </c>
      <c r="X855" t="s">
        <v>3549</v>
      </c>
      <c r="Y855" t="s">
        <v>240</v>
      </c>
      <c r="Z855" t="s">
        <v>110</v>
      </c>
      <c r="AA855" t="str">
        <f>"11220-3936"</f>
        <v>11220-3936</v>
      </c>
      <c r="AB855" t="s">
        <v>172</v>
      </c>
      <c r="AC855" t="s">
        <v>112</v>
      </c>
      <c r="AD855" t="s">
        <v>107</v>
      </c>
      <c r="AE855" t="s">
        <v>113</v>
      </c>
      <c r="AG855" t="s">
        <v>114</v>
      </c>
    </row>
    <row r="856" spans="1:33" x14ac:dyDescent="0.25">
      <c r="A856" t="str">
        <f>"1184703613"</f>
        <v>1184703613</v>
      </c>
      <c r="B856" t="str">
        <f>"01063170"</f>
        <v>01063170</v>
      </c>
      <c r="C856" t="s">
        <v>3550</v>
      </c>
      <c r="D856" t="s">
        <v>3551</v>
      </c>
      <c r="E856" t="s">
        <v>3552</v>
      </c>
      <c r="G856" t="s">
        <v>1393</v>
      </c>
      <c r="H856" t="s">
        <v>1394</v>
      </c>
      <c r="I856">
        <v>2016</v>
      </c>
      <c r="J856" t="s">
        <v>1395</v>
      </c>
      <c r="L856" t="s">
        <v>166</v>
      </c>
      <c r="M856" t="s">
        <v>107</v>
      </c>
      <c r="R856" t="s">
        <v>3550</v>
      </c>
      <c r="W856" t="s">
        <v>3552</v>
      </c>
      <c r="X856" t="s">
        <v>3553</v>
      </c>
      <c r="Y856" t="s">
        <v>225</v>
      </c>
      <c r="Z856" t="s">
        <v>110</v>
      </c>
      <c r="AA856" t="str">
        <f>"11357"</f>
        <v>11357</v>
      </c>
      <c r="AB856" t="s">
        <v>172</v>
      </c>
      <c r="AC856" t="s">
        <v>112</v>
      </c>
      <c r="AD856" t="s">
        <v>107</v>
      </c>
      <c r="AE856" t="s">
        <v>113</v>
      </c>
      <c r="AG856" t="s">
        <v>114</v>
      </c>
    </row>
    <row r="857" spans="1:33" x14ac:dyDescent="0.25">
      <c r="A857" t="str">
        <f>"1518092170"</f>
        <v>1518092170</v>
      </c>
      <c r="B857" t="str">
        <f>"01675410"</f>
        <v>01675410</v>
      </c>
      <c r="C857" t="s">
        <v>3554</v>
      </c>
      <c r="D857" t="s">
        <v>3555</v>
      </c>
      <c r="E857" t="s">
        <v>3556</v>
      </c>
      <c r="G857" t="s">
        <v>1155</v>
      </c>
      <c r="H857" t="s">
        <v>1156</v>
      </c>
      <c r="J857" t="s">
        <v>1157</v>
      </c>
      <c r="L857" t="s">
        <v>315</v>
      </c>
      <c r="M857" t="s">
        <v>107</v>
      </c>
      <c r="R857" t="s">
        <v>3554</v>
      </c>
      <c r="W857" t="s">
        <v>3556</v>
      </c>
      <c r="X857" t="s">
        <v>3557</v>
      </c>
      <c r="Y857" t="s">
        <v>240</v>
      </c>
      <c r="Z857" t="s">
        <v>110</v>
      </c>
      <c r="AA857" t="str">
        <f>"11201-5514"</f>
        <v>11201-5514</v>
      </c>
      <c r="AB857" t="s">
        <v>172</v>
      </c>
      <c r="AC857" t="s">
        <v>112</v>
      </c>
      <c r="AD857" t="s">
        <v>107</v>
      </c>
      <c r="AE857" t="s">
        <v>113</v>
      </c>
      <c r="AG857" t="s">
        <v>114</v>
      </c>
    </row>
    <row r="858" spans="1:33" x14ac:dyDescent="0.25">
      <c r="A858" t="str">
        <f>"1023041795"</f>
        <v>1023041795</v>
      </c>
      <c r="B858" t="str">
        <f>"02383475"</f>
        <v>02383475</v>
      </c>
      <c r="C858" t="s">
        <v>3558</v>
      </c>
      <c r="D858" t="s">
        <v>3559</v>
      </c>
      <c r="E858" t="s">
        <v>3560</v>
      </c>
      <c r="G858" t="s">
        <v>1155</v>
      </c>
      <c r="H858" t="s">
        <v>1156</v>
      </c>
      <c r="J858" t="s">
        <v>1157</v>
      </c>
      <c r="L858" t="s">
        <v>215</v>
      </c>
      <c r="M858" t="s">
        <v>107</v>
      </c>
      <c r="R858" t="s">
        <v>3558</v>
      </c>
      <c r="W858" t="s">
        <v>3560</v>
      </c>
      <c r="X858" t="s">
        <v>1720</v>
      </c>
      <c r="Y858" t="s">
        <v>325</v>
      </c>
      <c r="Z858" t="s">
        <v>110</v>
      </c>
      <c r="AA858" t="str">
        <f>"10029-4413"</f>
        <v>10029-4413</v>
      </c>
      <c r="AB858" t="s">
        <v>172</v>
      </c>
      <c r="AC858" t="s">
        <v>112</v>
      </c>
      <c r="AD858" t="s">
        <v>107</v>
      </c>
      <c r="AE858" t="s">
        <v>113</v>
      </c>
      <c r="AG858" t="s">
        <v>114</v>
      </c>
    </row>
    <row r="859" spans="1:33" x14ac:dyDescent="0.25">
      <c r="A859" t="str">
        <f>"1962427427"</f>
        <v>1962427427</v>
      </c>
      <c r="B859" t="str">
        <f>"00855647"</f>
        <v>00855647</v>
      </c>
      <c r="C859" t="s">
        <v>3561</v>
      </c>
      <c r="D859" t="s">
        <v>3562</v>
      </c>
      <c r="E859" t="s">
        <v>3563</v>
      </c>
      <c r="G859" t="s">
        <v>1155</v>
      </c>
      <c r="H859" t="s">
        <v>1156</v>
      </c>
      <c r="J859" t="s">
        <v>1157</v>
      </c>
      <c r="L859" t="s">
        <v>215</v>
      </c>
      <c r="M859" t="s">
        <v>107</v>
      </c>
      <c r="R859" t="s">
        <v>3561</v>
      </c>
      <c r="W859" t="s">
        <v>3563</v>
      </c>
      <c r="X859" t="s">
        <v>3564</v>
      </c>
      <c r="Y859" t="s">
        <v>171</v>
      </c>
      <c r="Z859" t="s">
        <v>110</v>
      </c>
      <c r="AA859" t="str">
        <f>"11373-4941"</f>
        <v>11373-4941</v>
      </c>
      <c r="AB859" t="s">
        <v>172</v>
      </c>
      <c r="AC859" t="s">
        <v>112</v>
      </c>
      <c r="AD859" t="s">
        <v>107</v>
      </c>
      <c r="AE859" t="s">
        <v>113</v>
      </c>
      <c r="AG859" t="s">
        <v>114</v>
      </c>
    </row>
    <row r="860" spans="1:33" x14ac:dyDescent="0.25">
      <c r="A860" t="str">
        <f>"1992882112"</f>
        <v>1992882112</v>
      </c>
      <c r="C860" t="s">
        <v>3565</v>
      </c>
      <c r="G860" t="s">
        <v>1155</v>
      </c>
      <c r="H860" t="s">
        <v>1156</v>
      </c>
      <c r="J860" t="s">
        <v>1157</v>
      </c>
      <c r="K860" t="s">
        <v>749</v>
      </c>
      <c r="L860" t="s">
        <v>373</v>
      </c>
      <c r="M860" t="s">
        <v>107</v>
      </c>
      <c r="R860" t="s">
        <v>3565</v>
      </c>
      <c r="S860" t="s">
        <v>3566</v>
      </c>
      <c r="T860" t="s">
        <v>3567</v>
      </c>
      <c r="U860" t="s">
        <v>2206</v>
      </c>
      <c r="V860" t="str">
        <f>"073066010"</f>
        <v>073066010</v>
      </c>
      <c r="AC860" t="s">
        <v>112</v>
      </c>
      <c r="AD860" t="s">
        <v>107</v>
      </c>
      <c r="AE860" t="s">
        <v>278</v>
      </c>
      <c r="AG860" t="s">
        <v>114</v>
      </c>
    </row>
    <row r="861" spans="1:33" x14ac:dyDescent="0.25">
      <c r="A861" t="str">
        <f>"1023201480"</f>
        <v>1023201480</v>
      </c>
      <c r="B861" t="str">
        <f>"03940190"</f>
        <v>03940190</v>
      </c>
      <c r="C861" t="s">
        <v>3568</v>
      </c>
      <c r="D861" t="s">
        <v>3569</v>
      </c>
      <c r="E861" t="s">
        <v>3570</v>
      </c>
      <c r="G861" t="s">
        <v>1155</v>
      </c>
      <c r="H861" t="s">
        <v>1156</v>
      </c>
      <c r="J861" t="s">
        <v>1157</v>
      </c>
      <c r="L861" t="s">
        <v>106</v>
      </c>
      <c r="M861" t="s">
        <v>107</v>
      </c>
      <c r="R861" t="s">
        <v>3568</v>
      </c>
      <c r="W861" t="s">
        <v>3570</v>
      </c>
      <c r="X861" t="s">
        <v>3571</v>
      </c>
      <c r="Y861" t="s">
        <v>2176</v>
      </c>
      <c r="Z861" t="s">
        <v>110</v>
      </c>
      <c r="AA861" t="str">
        <f>"12401-3931"</f>
        <v>12401-3931</v>
      </c>
      <c r="AB861" t="s">
        <v>172</v>
      </c>
      <c r="AC861" t="s">
        <v>112</v>
      </c>
      <c r="AD861" t="s">
        <v>107</v>
      </c>
      <c r="AE861" t="s">
        <v>113</v>
      </c>
      <c r="AG861" t="s">
        <v>114</v>
      </c>
    </row>
    <row r="862" spans="1:33" x14ac:dyDescent="0.25">
      <c r="A862" t="str">
        <f>"1396982641"</f>
        <v>1396982641</v>
      </c>
      <c r="C862" t="s">
        <v>3572</v>
      </c>
      <c r="G862" t="s">
        <v>1155</v>
      </c>
      <c r="H862" t="s">
        <v>1156</v>
      </c>
      <c r="J862" t="s">
        <v>1157</v>
      </c>
      <c r="K862" t="s">
        <v>749</v>
      </c>
      <c r="L862" t="s">
        <v>373</v>
      </c>
      <c r="M862" t="s">
        <v>107</v>
      </c>
      <c r="R862" t="s">
        <v>3573</v>
      </c>
      <c r="S862" t="s">
        <v>3574</v>
      </c>
      <c r="T862" t="s">
        <v>3575</v>
      </c>
      <c r="U862" t="s">
        <v>3576</v>
      </c>
      <c r="V862" t="str">
        <f>"873015748"</f>
        <v>873015748</v>
      </c>
      <c r="AC862" t="s">
        <v>112</v>
      </c>
      <c r="AD862" t="s">
        <v>107</v>
      </c>
      <c r="AE862" t="s">
        <v>278</v>
      </c>
      <c r="AG862" t="s">
        <v>114</v>
      </c>
    </row>
    <row r="863" spans="1:33" x14ac:dyDescent="0.25">
      <c r="A863" t="str">
        <f>"1659379147"</f>
        <v>1659379147</v>
      </c>
      <c r="B863" t="str">
        <f>"00238188"</f>
        <v>00238188</v>
      </c>
      <c r="C863" t="s">
        <v>3577</v>
      </c>
      <c r="D863" t="s">
        <v>3578</v>
      </c>
      <c r="E863" t="s">
        <v>3579</v>
      </c>
      <c r="G863" t="s">
        <v>289</v>
      </c>
      <c r="H863" t="s">
        <v>290</v>
      </c>
      <c r="J863" t="s">
        <v>291</v>
      </c>
      <c r="L863" t="s">
        <v>215</v>
      </c>
      <c r="M863" t="s">
        <v>107</v>
      </c>
      <c r="R863" t="s">
        <v>3577</v>
      </c>
      <c r="W863" t="s">
        <v>3579</v>
      </c>
      <c r="X863" t="s">
        <v>3580</v>
      </c>
      <c r="Y863" t="s">
        <v>3581</v>
      </c>
      <c r="Z863" t="s">
        <v>110</v>
      </c>
      <c r="AA863" t="str">
        <f>"11568-1014"</f>
        <v>11568-1014</v>
      </c>
      <c r="AB863" t="s">
        <v>172</v>
      </c>
      <c r="AC863" t="s">
        <v>112</v>
      </c>
      <c r="AD863" t="s">
        <v>107</v>
      </c>
      <c r="AE863" t="s">
        <v>113</v>
      </c>
      <c r="AG863" t="s">
        <v>114</v>
      </c>
    </row>
    <row r="864" spans="1:33" x14ac:dyDescent="0.25">
      <c r="A864" t="str">
        <f>"1750339271"</f>
        <v>1750339271</v>
      </c>
      <c r="B864" t="str">
        <f>"02970074"</f>
        <v>02970074</v>
      </c>
      <c r="C864" t="s">
        <v>3582</v>
      </c>
      <c r="D864" t="s">
        <v>3583</v>
      </c>
      <c r="E864" t="s">
        <v>3584</v>
      </c>
      <c r="G864" t="s">
        <v>289</v>
      </c>
      <c r="H864" t="s">
        <v>290</v>
      </c>
      <c r="J864" t="s">
        <v>291</v>
      </c>
      <c r="L864" t="s">
        <v>514</v>
      </c>
      <c r="M864" t="s">
        <v>107</v>
      </c>
      <c r="R864" t="s">
        <v>3582</v>
      </c>
      <c r="W864" t="s">
        <v>3582</v>
      </c>
      <c r="X864" t="s">
        <v>3585</v>
      </c>
      <c r="Y864" t="s">
        <v>207</v>
      </c>
      <c r="Z864" t="s">
        <v>110</v>
      </c>
      <c r="AA864" t="str">
        <f>"11375-1856"</f>
        <v>11375-1856</v>
      </c>
      <c r="AB864" t="s">
        <v>172</v>
      </c>
      <c r="AC864" t="s">
        <v>112</v>
      </c>
      <c r="AD864" t="s">
        <v>107</v>
      </c>
      <c r="AE864" t="s">
        <v>113</v>
      </c>
      <c r="AG864" t="s">
        <v>114</v>
      </c>
    </row>
    <row r="865" spans="1:33" x14ac:dyDescent="0.25">
      <c r="A865" t="str">
        <f>"1538394127"</f>
        <v>1538394127</v>
      </c>
      <c r="B865" t="str">
        <f>"03173044"</f>
        <v>03173044</v>
      </c>
      <c r="C865" t="s">
        <v>3586</v>
      </c>
      <c r="D865" t="s">
        <v>3587</v>
      </c>
      <c r="E865" t="s">
        <v>3588</v>
      </c>
      <c r="G865" t="s">
        <v>289</v>
      </c>
      <c r="H865" t="s">
        <v>290</v>
      </c>
      <c r="J865" t="s">
        <v>291</v>
      </c>
      <c r="L865" t="s">
        <v>106</v>
      </c>
      <c r="M865" t="s">
        <v>107</v>
      </c>
      <c r="R865" t="s">
        <v>3586</v>
      </c>
      <c r="W865" t="s">
        <v>3588</v>
      </c>
      <c r="X865" t="s">
        <v>732</v>
      </c>
      <c r="Y865" t="s">
        <v>356</v>
      </c>
      <c r="Z865" t="s">
        <v>110</v>
      </c>
      <c r="AA865" t="str">
        <f>"10701-4004"</f>
        <v>10701-4004</v>
      </c>
      <c r="AB865" t="s">
        <v>172</v>
      </c>
      <c r="AC865" t="s">
        <v>112</v>
      </c>
      <c r="AD865" t="s">
        <v>107</v>
      </c>
      <c r="AE865" t="s">
        <v>113</v>
      </c>
      <c r="AG865" t="s">
        <v>114</v>
      </c>
    </row>
    <row r="866" spans="1:33" x14ac:dyDescent="0.25">
      <c r="A866" t="str">
        <f>"1679756779"</f>
        <v>1679756779</v>
      </c>
      <c r="B866" t="str">
        <f>"03682097"</f>
        <v>03682097</v>
      </c>
      <c r="C866" t="s">
        <v>3589</v>
      </c>
      <c r="D866" t="s">
        <v>3590</v>
      </c>
      <c r="E866" t="s">
        <v>3591</v>
      </c>
      <c r="G866" t="s">
        <v>289</v>
      </c>
      <c r="H866" t="s">
        <v>290</v>
      </c>
      <c r="J866" t="s">
        <v>291</v>
      </c>
      <c r="L866" t="s">
        <v>106</v>
      </c>
      <c r="M866" t="s">
        <v>107</v>
      </c>
      <c r="R866" t="s">
        <v>3589</v>
      </c>
      <c r="W866" t="s">
        <v>3591</v>
      </c>
      <c r="X866" t="s">
        <v>3592</v>
      </c>
      <c r="Y866" t="s">
        <v>481</v>
      </c>
      <c r="Z866" t="s">
        <v>110</v>
      </c>
      <c r="AA866" t="str">
        <f>"11427-2128"</f>
        <v>11427-2128</v>
      </c>
      <c r="AB866" t="s">
        <v>172</v>
      </c>
      <c r="AC866" t="s">
        <v>112</v>
      </c>
      <c r="AD866" t="s">
        <v>107</v>
      </c>
      <c r="AE866" t="s">
        <v>113</v>
      </c>
      <c r="AG866" t="s">
        <v>114</v>
      </c>
    </row>
    <row r="867" spans="1:33" x14ac:dyDescent="0.25">
      <c r="A867" t="str">
        <f>"1306166392"</f>
        <v>1306166392</v>
      </c>
      <c r="B867" t="str">
        <f>"03723255"</f>
        <v>03723255</v>
      </c>
      <c r="C867" t="s">
        <v>3593</v>
      </c>
      <c r="D867" t="s">
        <v>3594</v>
      </c>
      <c r="E867" t="s">
        <v>3595</v>
      </c>
      <c r="G867" t="s">
        <v>289</v>
      </c>
      <c r="H867" t="s">
        <v>290</v>
      </c>
      <c r="J867" t="s">
        <v>291</v>
      </c>
      <c r="L867" t="s">
        <v>106</v>
      </c>
      <c r="M867" t="s">
        <v>107</v>
      </c>
      <c r="R867" t="s">
        <v>3593</v>
      </c>
      <c r="W867" t="s">
        <v>3595</v>
      </c>
      <c r="X867" t="s">
        <v>619</v>
      </c>
      <c r="Y867" t="s">
        <v>481</v>
      </c>
      <c r="Z867" t="s">
        <v>110</v>
      </c>
      <c r="AA867" t="str">
        <f>"11427-2128"</f>
        <v>11427-2128</v>
      </c>
      <c r="AB867" t="s">
        <v>172</v>
      </c>
      <c r="AC867" t="s">
        <v>112</v>
      </c>
      <c r="AD867" t="s">
        <v>107</v>
      </c>
      <c r="AE867" t="s">
        <v>113</v>
      </c>
      <c r="AG867" t="s">
        <v>114</v>
      </c>
    </row>
    <row r="868" spans="1:33" x14ac:dyDescent="0.25">
      <c r="A868" t="str">
        <f>"1417382193"</f>
        <v>1417382193</v>
      </c>
      <c r="B868" t="str">
        <f>"03699570"</f>
        <v>03699570</v>
      </c>
      <c r="C868" t="s">
        <v>3596</v>
      </c>
      <c r="D868" t="s">
        <v>3597</v>
      </c>
      <c r="E868" t="s">
        <v>3598</v>
      </c>
      <c r="G868" t="s">
        <v>289</v>
      </c>
      <c r="H868" t="s">
        <v>290</v>
      </c>
      <c r="J868" t="s">
        <v>291</v>
      </c>
      <c r="L868" t="s">
        <v>373</v>
      </c>
      <c r="M868" t="s">
        <v>107</v>
      </c>
      <c r="R868" t="s">
        <v>3596</v>
      </c>
      <c r="W868" t="s">
        <v>3598</v>
      </c>
      <c r="X868" t="s">
        <v>619</v>
      </c>
      <c r="Y868" t="s">
        <v>481</v>
      </c>
      <c r="Z868" t="s">
        <v>110</v>
      </c>
      <c r="AA868" t="str">
        <f>"11427-2128"</f>
        <v>11427-2128</v>
      </c>
      <c r="AB868" t="s">
        <v>172</v>
      </c>
      <c r="AC868" t="s">
        <v>112</v>
      </c>
      <c r="AD868" t="s">
        <v>107</v>
      </c>
      <c r="AE868" t="s">
        <v>113</v>
      </c>
      <c r="AG868" t="s">
        <v>114</v>
      </c>
    </row>
    <row r="869" spans="1:33" x14ac:dyDescent="0.25">
      <c r="A869" t="str">
        <f>"1093830903"</f>
        <v>1093830903</v>
      </c>
      <c r="B869" t="str">
        <f>"01996730"</f>
        <v>01996730</v>
      </c>
      <c r="C869" t="s">
        <v>3599</v>
      </c>
      <c r="D869" t="s">
        <v>3600</v>
      </c>
      <c r="E869" t="s">
        <v>3601</v>
      </c>
      <c r="G869" t="s">
        <v>289</v>
      </c>
      <c r="H869" t="s">
        <v>290</v>
      </c>
      <c r="J869" t="s">
        <v>291</v>
      </c>
      <c r="L869" t="s">
        <v>117</v>
      </c>
      <c r="M869" t="s">
        <v>107</v>
      </c>
      <c r="R869" t="s">
        <v>3599</v>
      </c>
      <c r="W869" t="s">
        <v>3601</v>
      </c>
      <c r="X869" t="s">
        <v>3602</v>
      </c>
      <c r="Y869" t="s">
        <v>1001</v>
      </c>
      <c r="Z869" t="s">
        <v>110</v>
      </c>
      <c r="AA869" t="str">
        <f>"11691-4068"</f>
        <v>11691-4068</v>
      </c>
      <c r="AB869" t="s">
        <v>172</v>
      </c>
      <c r="AC869" t="s">
        <v>112</v>
      </c>
      <c r="AD869" t="s">
        <v>107</v>
      </c>
      <c r="AE869" t="s">
        <v>113</v>
      </c>
      <c r="AG869" t="s">
        <v>114</v>
      </c>
    </row>
    <row r="870" spans="1:33" x14ac:dyDescent="0.25">
      <c r="A870" t="str">
        <f>"1487708228"</f>
        <v>1487708228</v>
      </c>
      <c r="B870" t="str">
        <f>"00232215"</f>
        <v>00232215</v>
      </c>
      <c r="C870" t="s">
        <v>3603</v>
      </c>
      <c r="D870" t="s">
        <v>3604</v>
      </c>
      <c r="E870" t="s">
        <v>3605</v>
      </c>
      <c r="G870" t="s">
        <v>289</v>
      </c>
      <c r="H870" t="s">
        <v>290</v>
      </c>
      <c r="J870" t="s">
        <v>291</v>
      </c>
      <c r="L870" t="s">
        <v>106</v>
      </c>
      <c r="M870" t="s">
        <v>107</v>
      </c>
      <c r="R870" t="s">
        <v>3603</v>
      </c>
      <c r="W870" t="s">
        <v>3605</v>
      </c>
      <c r="X870" t="s">
        <v>3606</v>
      </c>
      <c r="Y870" t="s">
        <v>3607</v>
      </c>
      <c r="Z870" t="s">
        <v>110</v>
      </c>
      <c r="AA870" t="str">
        <f>"11590-1115"</f>
        <v>11590-1115</v>
      </c>
      <c r="AB870" t="s">
        <v>172</v>
      </c>
      <c r="AC870" t="s">
        <v>112</v>
      </c>
      <c r="AD870" t="s">
        <v>107</v>
      </c>
      <c r="AE870" t="s">
        <v>113</v>
      </c>
      <c r="AG870" t="s">
        <v>114</v>
      </c>
    </row>
    <row r="871" spans="1:33" x14ac:dyDescent="0.25">
      <c r="A871" t="str">
        <f>"1366430563"</f>
        <v>1366430563</v>
      </c>
      <c r="B871" t="str">
        <f>"00688220"</f>
        <v>00688220</v>
      </c>
      <c r="C871" t="s">
        <v>3608</v>
      </c>
      <c r="D871" t="s">
        <v>3609</v>
      </c>
      <c r="E871" t="s">
        <v>3610</v>
      </c>
      <c r="G871" t="s">
        <v>3474</v>
      </c>
      <c r="H871" t="s">
        <v>1028</v>
      </c>
      <c r="J871" t="s">
        <v>1029</v>
      </c>
      <c r="L871" t="s">
        <v>822</v>
      </c>
      <c r="M871" t="s">
        <v>167</v>
      </c>
      <c r="R871" t="s">
        <v>3611</v>
      </c>
      <c r="W871" t="s">
        <v>3610</v>
      </c>
      <c r="X871" t="s">
        <v>3612</v>
      </c>
      <c r="Y871" t="s">
        <v>836</v>
      </c>
      <c r="Z871" t="s">
        <v>110</v>
      </c>
      <c r="AA871" t="str">
        <f>"11420-1034"</f>
        <v>11420-1034</v>
      </c>
      <c r="AB871" t="s">
        <v>191</v>
      </c>
      <c r="AC871" t="s">
        <v>112</v>
      </c>
      <c r="AD871" t="s">
        <v>107</v>
      </c>
      <c r="AE871" t="s">
        <v>113</v>
      </c>
      <c r="AG871" t="s">
        <v>114</v>
      </c>
    </row>
    <row r="872" spans="1:33" x14ac:dyDescent="0.25">
      <c r="A872" t="str">
        <f>"1811141377"</f>
        <v>1811141377</v>
      </c>
      <c r="B872" t="str">
        <f>"03336725"</f>
        <v>03336725</v>
      </c>
      <c r="C872" t="s">
        <v>3613</v>
      </c>
      <c r="D872" t="s">
        <v>3614</v>
      </c>
      <c r="E872" t="s">
        <v>3613</v>
      </c>
      <c r="G872" t="s">
        <v>103</v>
      </c>
      <c r="H872" t="s">
        <v>104</v>
      </c>
      <c r="J872" t="s">
        <v>105</v>
      </c>
      <c r="L872" t="s">
        <v>117</v>
      </c>
      <c r="M872" t="s">
        <v>107</v>
      </c>
      <c r="R872" t="s">
        <v>3613</v>
      </c>
      <c r="W872" t="s">
        <v>3615</v>
      </c>
      <c r="X872" t="s">
        <v>119</v>
      </c>
      <c r="Y872" t="s">
        <v>109</v>
      </c>
      <c r="Z872" t="s">
        <v>110</v>
      </c>
      <c r="AA872" t="str">
        <f>"11374-2259"</f>
        <v>11374-2259</v>
      </c>
      <c r="AB872" t="s">
        <v>111</v>
      </c>
      <c r="AC872" t="s">
        <v>112</v>
      </c>
      <c r="AD872" t="s">
        <v>107</v>
      </c>
      <c r="AE872" t="s">
        <v>113</v>
      </c>
      <c r="AG872" t="s">
        <v>114</v>
      </c>
    </row>
    <row r="873" spans="1:33" x14ac:dyDescent="0.25">
      <c r="A873" t="str">
        <f>"1144391012"</f>
        <v>1144391012</v>
      </c>
      <c r="B873" t="str">
        <f>"02540389"</f>
        <v>02540389</v>
      </c>
      <c r="C873" t="s">
        <v>3616</v>
      </c>
      <c r="D873" t="s">
        <v>3617</v>
      </c>
      <c r="E873" t="s">
        <v>3618</v>
      </c>
      <c r="G873" t="s">
        <v>103</v>
      </c>
      <c r="H873" t="s">
        <v>104</v>
      </c>
      <c r="J873" t="s">
        <v>105</v>
      </c>
      <c r="L873" t="s">
        <v>117</v>
      </c>
      <c r="M873" t="s">
        <v>107</v>
      </c>
      <c r="R873" t="s">
        <v>3616</v>
      </c>
      <c r="W873" t="s">
        <v>3619</v>
      </c>
      <c r="X873" t="s">
        <v>3620</v>
      </c>
      <c r="Y873" t="s">
        <v>109</v>
      </c>
      <c r="Z873" t="s">
        <v>110</v>
      </c>
      <c r="AA873" t="str">
        <f>"11374-2259"</f>
        <v>11374-2259</v>
      </c>
      <c r="AB873" t="s">
        <v>111</v>
      </c>
      <c r="AC873" t="s">
        <v>112</v>
      </c>
      <c r="AD873" t="s">
        <v>107</v>
      </c>
      <c r="AE873" t="s">
        <v>113</v>
      </c>
      <c r="AG873" t="s">
        <v>114</v>
      </c>
    </row>
    <row r="874" spans="1:33" x14ac:dyDescent="0.25">
      <c r="A874" t="str">
        <f>"1306974399"</f>
        <v>1306974399</v>
      </c>
      <c r="B874" t="str">
        <f>"01590514"</f>
        <v>01590514</v>
      </c>
      <c r="C874" t="s">
        <v>3621</v>
      </c>
      <c r="D874" t="s">
        <v>3622</v>
      </c>
      <c r="E874" t="s">
        <v>3623</v>
      </c>
      <c r="G874" t="s">
        <v>289</v>
      </c>
      <c r="H874" t="s">
        <v>290</v>
      </c>
      <c r="J874" t="s">
        <v>291</v>
      </c>
      <c r="L874" t="s">
        <v>117</v>
      </c>
      <c r="M874" t="s">
        <v>107</v>
      </c>
      <c r="R874" t="s">
        <v>3621</v>
      </c>
      <c r="W874" t="s">
        <v>3623</v>
      </c>
      <c r="X874" t="s">
        <v>3624</v>
      </c>
      <c r="Y874" t="s">
        <v>240</v>
      </c>
      <c r="Z874" t="s">
        <v>110</v>
      </c>
      <c r="AA874" t="str">
        <f>"11235-7745"</f>
        <v>11235-7745</v>
      </c>
      <c r="AB874" t="s">
        <v>172</v>
      </c>
      <c r="AC874" t="s">
        <v>112</v>
      </c>
      <c r="AD874" t="s">
        <v>107</v>
      </c>
      <c r="AE874" t="s">
        <v>113</v>
      </c>
      <c r="AG874" t="s">
        <v>114</v>
      </c>
    </row>
    <row r="875" spans="1:33" x14ac:dyDescent="0.25">
      <c r="A875" t="str">
        <f>"1982648143"</f>
        <v>1982648143</v>
      </c>
      <c r="B875" t="str">
        <f>"02963633"</f>
        <v>02963633</v>
      </c>
      <c r="C875" t="s">
        <v>3625</v>
      </c>
      <c r="D875" t="s">
        <v>3626</v>
      </c>
      <c r="E875" t="s">
        <v>3627</v>
      </c>
      <c r="G875" t="s">
        <v>289</v>
      </c>
      <c r="H875" t="s">
        <v>290</v>
      </c>
      <c r="J875" t="s">
        <v>291</v>
      </c>
      <c r="L875" t="s">
        <v>106</v>
      </c>
      <c r="M875" t="s">
        <v>107</v>
      </c>
      <c r="R875" t="s">
        <v>3625</v>
      </c>
      <c r="W875" t="s">
        <v>3627</v>
      </c>
      <c r="X875" t="s">
        <v>619</v>
      </c>
      <c r="Y875" t="s">
        <v>481</v>
      </c>
      <c r="Z875" t="s">
        <v>110</v>
      </c>
      <c r="AA875" t="str">
        <f>"11427-2128"</f>
        <v>11427-2128</v>
      </c>
      <c r="AB875" t="s">
        <v>172</v>
      </c>
      <c r="AC875" t="s">
        <v>112</v>
      </c>
      <c r="AD875" t="s">
        <v>107</v>
      </c>
      <c r="AE875" t="s">
        <v>113</v>
      </c>
      <c r="AG875" t="s">
        <v>114</v>
      </c>
    </row>
    <row r="876" spans="1:33" x14ac:dyDescent="0.25">
      <c r="A876" t="str">
        <f>"1265750764"</f>
        <v>1265750764</v>
      </c>
      <c r="B876" t="str">
        <f>"03722350"</f>
        <v>03722350</v>
      </c>
      <c r="C876" t="s">
        <v>3628</v>
      </c>
      <c r="D876" t="s">
        <v>3629</v>
      </c>
      <c r="E876" t="s">
        <v>3630</v>
      </c>
      <c r="G876" t="s">
        <v>289</v>
      </c>
      <c r="H876" t="s">
        <v>290</v>
      </c>
      <c r="J876" t="s">
        <v>291</v>
      </c>
      <c r="L876" t="s">
        <v>106</v>
      </c>
      <c r="M876" t="s">
        <v>107</v>
      </c>
      <c r="R876" t="s">
        <v>3628</v>
      </c>
      <c r="W876" t="s">
        <v>3630</v>
      </c>
      <c r="X876" t="s">
        <v>619</v>
      </c>
      <c r="Y876" t="s">
        <v>481</v>
      </c>
      <c r="Z876" t="s">
        <v>110</v>
      </c>
      <c r="AA876" t="str">
        <f>"11427-2128"</f>
        <v>11427-2128</v>
      </c>
      <c r="AB876" t="s">
        <v>172</v>
      </c>
      <c r="AC876" t="s">
        <v>112</v>
      </c>
      <c r="AD876" t="s">
        <v>107</v>
      </c>
      <c r="AE876" t="s">
        <v>113</v>
      </c>
      <c r="AG876" t="s">
        <v>114</v>
      </c>
    </row>
    <row r="877" spans="1:33" x14ac:dyDescent="0.25">
      <c r="A877" t="str">
        <f>"1518087832"</f>
        <v>1518087832</v>
      </c>
      <c r="B877" t="str">
        <f>"02406568"</f>
        <v>02406568</v>
      </c>
      <c r="C877" t="s">
        <v>3631</v>
      </c>
      <c r="D877" t="s">
        <v>3632</v>
      </c>
      <c r="E877" t="s">
        <v>3633</v>
      </c>
      <c r="G877" t="s">
        <v>289</v>
      </c>
      <c r="H877" t="s">
        <v>290</v>
      </c>
      <c r="J877" t="s">
        <v>291</v>
      </c>
      <c r="L877" t="s">
        <v>106</v>
      </c>
      <c r="M877" t="s">
        <v>107</v>
      </c>
      <c r="R877" t="s">
        <v>3631</v>
      </c>
      <c r="W877" t="s">
        <v>3634</v>
      </c>
      <c r="X877" t="s">
        <v>619</v>
      </c>
      <c r="Y877" t="s">
        <v>481</v>
      </c>
      <c r="Z877" t="s">
        <v>110</v>
      </c>
      <c r="AA877" t="str">
        <f>"11427-2128"</f>
        <v>11427-2128</v>
      </c>
      <c r="AB877" t="s">
        <v>172</v>
      </c>
      <c r="AC877" t="s">
        <v>112</v>
      </c>
      <c r="AD877" t="s">
        <v>107</v>
      </c>
      <c r="AE877" t="s">
        <v>113</v>
      </c>
      <c r="AG877" t="s">
        <v>114</v>
      </c>
    </row>
    <row r="878" spans="1:33" x14ac:dyDescent="0.25">
      <c r="A878" t="str">
        <f>"1033102280"</f>
        <v>1033102280</v>
      </c>
      <c r="B878" t="str">
        <f>"00720892"</f>
        <v>00720892</v>
      </c>
      <c r="C878" t="s">
        <v>3635</v>
      </c>
      <c r="D878" t="s">
        <v>3636</v>
      </c>
      <c r="E878" t="s">
        <v>3637</v>
      </c>
      <c r="G878" t="s">
        <v>289</v>
      </c>
      <c r="H878" t="s">
        <v>290</v>
      </c>
      <c r="J878" t="s">
        <v>291</v>
      </c>
      <c r="L878" t="s">
        <v>106</v>
      </c>
      <c r="M878" t="s">
        <v>107</v>
      </c>
      <c r="R878" t="s">
        <v>3635</v>
      </c>
      <c r="W878" t="s">
        <v>3637</v>
      </c>
      <c r="X878" t="s">
        <v>3638</v>
      </c>
      <c r="Y878" t="s">
        <v>3639</v>
      </c>
      <c r="Z878" t="s">
        <v>110</v>
      </c>
      <c r="AA878" t="str">
        <f>"11777-1968"</f>
        <v>11777-1968</v>
      </c>
      <c r="AB878" t="s">
        <v>172</v>
      </c>
      <c r="AC878" t="s">
        <v>112</v>
      </c>
      <c r="AD878" t="s">
        <v>107</v>
      </c>
      <c r="AE878" t="s">
        <v>113</v>
      </c>
      <c r="AG878" t="s">
        <v>114</v>
      </c>
    </row>
    <row r="879" spans="1:33" x14ac:dyDescent="0.25">
      <c r="A879" t="str">
        <f>"1518010180"</f>
        <v>1518010180</v>
      </c>
      <c r="B879" t="str">
        <f>"01078019"</f>
        <v>01078019</v>
      </c>
      <c r="C879" t="s">
        <v>3640</v>
      </c>
      <c r="D879" t="s">
        <v>3641</v>
      </c>
      <c r="E879" t="s">
        <v>3642</v>
      </c>
      <c r="G879" t="s">
        <v>289</v>
      </c>
      <c r="H879" t="s">
        <v>290</v>
      </c>
      <c r="J879" t="s">
        <v>291</v>
      </c>
      <c r="L879" t="s">
        <v>373</v>
      </c>
      <c r="M879" t="s">
        <v>107</v>
      </c>
      <c r="R879" t="s">
        <v>3640</v>
      </c>
      <c r="W879" t="s">
        <v>3643</v>
      </c>
      <c r="X879" t="s">
        <v>3644</v>
      </c>
      <c r="Y879" t="s">
        <v>325</v>
      </c>
      <c r="Z879" t="s">
        <v>110</v>
      </c>
      <c r="AA879" t="str">
        <f>"10023-2661"</f>
        <v>10023-2661</v>
      </c>
      <c r="AB879" t="s">
        <v>172</v>
      </c>
      <c r="AC879" t="s">
        <v>112</v>
      </c>
      <c r="AD879" t="s">
        <v>107</v>
      </c>
      <c r="AE879" t="s">
        <v>113</v>
      </c>
      <c r="AG879" t="s">
        <v>114</v>
      </c>
    </row>
    <row r="880" spans="1:33" x14ac:dyDescent="0.25">
      <c r="A880" t="str">
        <f>"1487723888"</f>
        <v>1487723888</v>
      </c>
      <c r="B880" t="str">
        <f>"00816326"</f>
        <v>00816326</v>
      </c>
      <c r="C880" t="s">
        <v>3645</v>
      </c>
      <c r="D880" t="s">
        <v>3646</v>
      </c>
      <c r="E880" t="s">
        <v>3647</v>
      </c>
      <c r="G880" t="s">
        <v>289</v>
      </c>
      <c r="H880" t="s">
        <v>290</v>
      </c>
      <c r="J880" t="s">
        <v>291</v>
      </c>
      <c r="L880" t="s">
        <v>106</v>
      </c>
      <c r="M880" t="s">
        <v>107</v>
      </c>
      <c r="R880" t="s">
        <v>3645</v>
      </c>
      <c r="W880" t="s">
        <v>3647</v>
      </c>
      <c r="X880" t="s">
        <v>3648</v>
      </c>
      <c r="Y880" t="s">
        <v>1206</v>
      </c>
      <c r="Z880" t="s">
        <v>110</v>
      </c>
      <c r="AA880" t="str">
        <f>"11368-3542"</f>
        <v>11368-3542</v>
      </c>
      <c r="AB880" t="s">
        <v>172</v>
      </c>
      <c r="AC880" t="s">
        <v>112</v>
      </c>
      <c r="AD880" t="s">
        <v>107</v>
      </c>
      <c r="AE880" t="s">
        <v>113</v>
      </c>
      <c r="AG880" t="s">
        <v>114</v>
      </c>
    </row>
    <row r="881" spans="1:33" x14ac:dyDescent="0.25">
      <c r="A881" t="str">
        <f>"1861542987"</f>
        <v>1861542987</v>
      </c>
      <c r="B881" t="str">
        <f>"01417096"</f>
        <v>01417096</v>
      </c>
      <c r="C881" t="s">
        <v>3649</v>
      </c>
      <c r="D881" t="s">
        <v>3650</v>
      </c>
      <c r="E881" t="s">
        <v>3651</v>
      </c>
      <c r="G881" t="s">
        <v>289</v>
      </c>
      <c r="H881" t="s">
        <v>290</v>
      </c>
      <c r="J881" t="s">
        <v>291</v>
      </c>
      <c r="L881" t="s">
        <v>106</v>
      </c>
      <c r="M881" t="s">
        <v>107</v>
      </c>
      <c r="R881" t="s">
        <v>3649</v>
      </c>
      <c r="W881" t="s">
        <v>3652</v>
      </c>
      <c r="X881" t="s">
        <v>3653</v>
      </c>
      <c r="Y881" t="s">
        <v>481</v>
      </c>
      <c r="Z881" t="s">
        <v>110</v>
      </c>
      <c r="AA881" t="str">
        <f>"11427-0000"</f>
        <v>11427-0000</v>
      </c>
      <c r="AB881" t="s">
        <v>172</v>
      </c>
      <c r="AC881" t="s">
        <v>112</v>
      </c>
      <c r="AD881" t="s">
        <v>107</v>
      </c>
      <c r="AE881" t="s">
        <v>113</v>
      </c>
      <c r="AG881" t="s">
        <v>114</v>
      </c>
    </row>
    <row r="882" spans="1:33" x14ac:dyDescent="0.25">
      <c r="A882" t="str">
        <f>"1134225733"</f>
        <v>1134225733</v>
      </c>
      <c r="B882" t="str">
        <f>"01392456"</f>
        <v>01392456</v>
      </c>
      <c r="C882" t="s">
        <v>3654</v>
      </c>
      <c r="D882" t="s">
        <v>3655</v>
      </c>
      <c r="E882" t="s">
        <v>3656</v>
      </c>
      <c r="G882" t="s">
        <v>289</v>
      </c>
      <c r="H882" t="s">
        <v>290</v>
      </c>
      <c r="J882" t="s">
        <v>291</v>
      </c>
      <c r="L882" t="s">
        <v>106</v>
      </c>
      <c r="M882" t="s">
        <v>107</v>
      </c>
      <c r="R882" t="s">
        <v>3654</v>
      </c>
      <c r="W882" t="s">
        <v>3656</v>
      </c>
      <c r="X882" t="s">
        <v>1195</v>
      </c>
      <c r="Y882" t="s">
        <v>481</v>
      </c>
      <c r="Z882" t="s">
        <v>110</v>
      </c>
      <c r="AA882" t="str">
        <f>"11427-2193"</f>
        <v>11427-2193</v>
      </c>
      <c r="AB882" t="s">
        <v>172</v>
      </c>
      <c r="AC882" t="s">
        <v>112</v>
      </c>
      <c r="AD882" t="s">
        <v>107</v>
      </c>
      <c r="AE882" t="s">
        <v>113</v>
      </c>
      <c r="AG882" t="s">
        <v>114</v>
      </c>
    </row>
    <row r="883" spans="1:33" x14ac:dyDescent="0.25">
      <c r="A883" t="str">
        <f>"1649514019"</f>
        <v>1649514019</v>
      </c>
      <c r="C883" t="s">
        <v>3657</v>
      </c>
      <c r="G883" t="s">
        <v>289</v>
      </c>
      <c r="H883" t="s">
        <v>290</v>
      </c>
      <c r="J883" t="s">
        <v>291</v>
      </c>
      <c r="K883" t="s">
        <v>749</v>
      </c>
      <c r="L883" t="s">
        <v>373</v>
      </c>
      <c r="M883" t="s">
        <v>107</v>
      </c>
      <c r="R883" t="s">
        <v>3657</v>
      </c>
      <c r="S883" t="s">
        <v>619</v>
      </c>
      <c r="T883" t="s">
        <v>481</v>
      </c>
      <c r="U883" t="s">
        <v>110</v>
      </c>
      <c r="V883" t="str">
        <f>"114272128"</f>
        <v>114272128</v>
      </c>
      <c r="AC883" t="s">
        <v>112</v>
      </c>
      <c r="AD883" t="s">
        <v>107</v>
      </c>
      <c r="AE883" t="s">
        <v>278</v>
      </c>
      <c r="AG883" t="s">
        <v>114</v>
      </c>
    </row>
    <row r="884" spans="1:33" x14ac:dyDescent="0.25">
      <c r="A884" t="str">
        <f>"1164799037"</f>
        <v>1164799037</v>
      </c>
      <c r="C884" t="s">
        <v>3658</v>
      </c>
      <c r="G884" t="s">
        <v>289</v>
      </c>
      <c r="H884" t="s">
        <v>290</v>
      </c>
      <c r="J884" t="s">
        <v>291</v>
      </c>
      <c r="K884" t="s">
        <v>749</v>
      </c>
      <c r="L884" t="s">
        <v>373</v>
      </c>
      <c r="M884" t="s">
        <v>107</v>
      </c>
      <c r="R884" t="s">
        <v>3658</v>
      </c>
      <c r="S884" t="s">
        <v>3659</v>
      </c>
      <c r="T884" t="s">
        <v>3660</v>
      </c>
      <c r="U884" t="s">
        <v>1191</v>
      </c>
      <c r="V884" t="str">
        <f>"328047309"</f>
        <v>328047309</v>
      </c>
      <c r="AC884" t="s">
        <v>112</v>
      </c>
      <c r="AD884" t="s">
        <v>107</v>
      </c>
      <c r="AE884" t="s">
        <v>278</v>
      </c>
      <c r="AG884" t="s">
        <v>114</v>
      </c>
    </row>
    <row r="885" spans="1:33" x14ac:dyDescent="0.25">
      <c r="A885" t="str">
        <f>"1508135823"</f>
        <v>1508135823</v>
      </c>
      <c r="C885" t="s">
        <v>3661</v>
      </c>
      <c r="G885" t="s">
        <v>289</v>
      </c>
      <c r="H885" t="s">
        <v>290</v>
      </c>
      <c r="J885" t="s">
        <v>291</v>
      </c>
      <c r="K885" t="s">
        <v>749</v>
      </c>
      <c r="L885" t="s">
        <v>373</v>
      </c>
      <c r="M885" t="s">
        <v>107</v>
      </c>
      <c r="R885" t="s">
        <v>3661</v>
      </c>
      <c r="S885" t="s">
        <v>3662</v>
      </c>
      <c r="T885" t="s">
        <v>481</v>
      </c>
      <c r="U885" t="s">
        <v>110</v>
      </c>
      <c r="V885" t="str">
        <f>"114272128"</f>
        <v>114272128</v>
      </c>
      <c r="AC885" t="s">
        <v>112</v>
      </c>
      <c r="AD885" t="s">
        <v>107</v>
      </c>
      <c r="AE885" t="s">
        <v>278</v>
      </c>
      <c r="AG885" t="s">
        <v>114</v>
      </c>
    </row>
    <row r="886" spans="1:33" x14ac:dyDescent="0.25">
      <c r="A886" t="str">
        <f>"1013074525"</f>
        <v>1013074525</v>
      </c>
      <c r="B886" t="str">
        <f>"01644706"</f>
        <v>01644706</v>
      </c>
      <c r="C886" t="s">
        <v>3663</v>
      </c>
      <c r="D886" t="s">
        <v>3664</v>
      </c>
      <c r="E886" t="s">
        <v>3665</v>
      </c>
      <c r="G886" t="s">
        <v>1027</v>
      </c>
      <c r="H886" t="s">
        <v>1028</v>
      </c>
      <c r="J886" t="s">
        <v>1029</v>
      </c>
      <c r="L886" t="s">
        <v>514</v>
      </c>
      <c r="M886" t="s">
        <v>107</v>
      </c>
      <c r="R886" t="s">
        <v>3663</v>
      </c>
      <c r="W886" t="s">
        <v>3665</v>
      </c>
      <c r="X886" t="s">
        <v>1305</v>
      </c>
      <c r="Y886" t="s">
        <v>422</v>
      </c>
      <c r="Z886" t="s">
        <v>110</v>
      </c>
      <c r="AA886" t="str">
        <f>"11418"</f>
        <v>11418</v>
      </c>
      <c r="AB886" t="s">
        <v>172</v>
      </c>
      <c r="AC886" t="s">
        <v>112</v>
      </c>
      <c r="AD886" t="s">
        <v>107</v>
      </c>
      <c r="AE886" t="s">
        <v>113</v>
      </c>
      <c r="AG886" t="s">
        <v>114</v>
      </c>
    </row>
    <row r="887" spans="1:33" x14ac:dyDescent="0.25">
      <c r="A887" t="str">
        <f>"1295965606"</f>
        <v>1295965606</v>
      </c>
      <c r="C887" t="s">
        <v>3666</v>
      </c>
      <c r="G887" t="s">
        <v>3667</v>
      </c>
      <c r="H887" t="s">
        <v>3668</v>
      </c>
      <c r="J887" t="s">
        <v>3669</v>
      </c>
      <c r="K887" t="s">
        <v>3670</v>
      </c>
      <c r="L887" t="s">
        <v>373</v>
      </c>
      <c r="M887" t="s">
        <v>107</v>
      </c>
      <c r="R887" t="s">
        <v>3671</v>
      </c>
      <c r="S887" t="s">
        <v>398</v>
      </c>
      <c r="T887" t="s">
        <v>399</v>
      </c>
      <c r="U887" t="s">
        <v>110</v>
      </c>
      <c r="V887" t="str">
        <f>"110401436"</f>
        <v>110401436</v>
      </c>
      <c r="AC887" t="s">
        <v>112</v>
      </c>
      <c r="AD887" t="s">
        <v>107</v>
      </c>
      <c r="AE887" t="s">
        <v>278</v>
      </c>
      <c r="AG887" t="s">
        <v>114</v>
      </c>
    </row>
    <row r="888" spans="1:33" x14ac:dyDescent="0.25">
      <c r="A888" t="str">
        <f>"1336195452"</f>
        <v>1336195452</v>
      </c>
      <c r="B888" t="str">
        <f>"02724707"</f>
        <v>02724707</v>
      </c>
      <c r="C888" t="s">
        <v>3672</v>
      </c>
      <c r="D888" t="s">
        <v>3673</v>
      </c>
      <c r="E888" t="s">
        <v>3674</v>
      </c>
      <c r="G888" t="s">
        <v>1027</v>
      </c>
      <c r="H888" t="s">
        <v>1028</v>
      </c>
      <c r="J888" t="s">
        <v>1029</v>
      </c>
      <c r="L888" t="s">
        <v>117</v>
      </c>
      <c r="M888" t="s">
        <v>107</v>
      </c>
      <c r="R888" t="s">
        <v>3672</v>
      </c>
      <c r="W888" t="s">
        <v>3675</v>
      </c>
      <c r="X888" t="s">
        <v>3676</v>
      </c>
      <c r="Y888" t="s">
        <v>225</v>
      </c>
      <c r="Z888" t="s">
        <v>110</v>
      </c>
      <c r="AA888" t="str">
        <f>"11355-3063"</f>
        <v>11355-3063</v>
      </c>
      <c r="AB888" t="s">
        <v>172</v>
      </c>
      <c r="AC888" t="s">
        <v>112</v>
      </c>
      <c r="AD888" t="s">
        <v>107</v>
      </c>
      <c r="AE888" t="s">
        <v>113</v>
      </c>
      <c r="AG888" t="s">
        <v>114</v>
      </c>
    </row>
    <row r="889" spans="1:33" x14ac:dyDescent="0.25">
      <c r="A889" t="str">
        <f>"1164573036"</f>
        <v>1164573036</v>
      </c>
      <c r="B889" t="str">
        <f>"03938290"</f>
        <v>03938290</v>
      </c>
      <c r="C889" t="s">
        <v>3677</v>
      </c>
      <c r="D889" t="s">
        <v>3678</v>
      </c>
      <c r="E889" t="s">
        <v>3679</v>
      </c>
      <c r="G889" t="s">
        <v>251</v>
      </c>
      <c r="H889" t="s">
        <v>252</v>
      </c>
      <c r="I889">
        <v>215</v>
      </c>
      <c r="J889" t="s">
        <v>253</v>
      </c>
      <c r="L889" t="s">
        <v>106</v>
      </c>
      <c r="M889" t="s">
        <v>107</v>
      </c>
      <c r="R889" t="s">
        <v>3680</v>
      </c>
      <c r="W889" t="s">
        <v>3679</v>
      </c>
      <c r="X889" t="s">
        <v>3681</v>
      </c>
      <c r="Y889" t="s">
        <v>325</v>
      </c>
      <c r="Z889" t="s">
        <v>110</v>
      </c>
      <c r="AA889" t="str">
        <f>"10119-0206"</f>
        <v>10119-0206</v>
      </c>
      <c r="AB889" t="s">
        <v>172</v>
      </c>
      <c r="AC889" t="s">
        <v>112</v>
      </c>
      <c r="AD889" t="s">
        <v>107</v>
      </c>
      <c r="AE889" t="s">
        <v>113</v>
      </c>
      <c r="AG889" t="s">
        <v>114</v>
      </c>
    </row>
    <row r="890" spans="1:33" x14ac:dyDescent="0.25">
      <c r="A890" t="str">
        <f>"1245483189"</f>
        <v>1245483189</v>
      </c>
      <c r="B890" t="str">
        <f>"02768289"</f>
        <v>02768289</v>
      </c>
      <c r="C890" t="s">
        <v>3682</v>
      </c>
      <c r="D890" t="s">
        <v>3683</v>
      </c>
      <c r="E890" t="s">
        <v>3684</v>
      </c>
      <c r="G890" t="s">
        <v>273</v>
      </c>
      <c r="H890" t="s">
        <v>274</v>
      </c>
      <c r="J890" t="s">
        <v>275</v>
      </c>
      <c r="L890" t="s">
        <v>117</v>
      </c>
      <c r="M890" t="s">
        <v>107</v>
      </c>
      <c r="R890" t="s">
        <v>3682</v>
      </c>
      <c r="W890" t="s">
        <v>3684</v>
      </c>
      <c r="X890" t="s">
        <v>3685</v>
      </c>
      <c r="Y890" t="s">
        <v>183</v>
      </c>
      <c r="Z890" t="s">
        <v>110</v>
      </c>
      <c r="AA890" t="str">
        <f>"10463-1205"</f>
        <v>10463-1205</v>
      </c>
      <c r="AB890" t="s">
        <v>111</v>
      </c>
      <c r="AC890" t="s">
        <v>112</v>
      </c>
      <c r="AD890" t="s">
        <v>107</v>
      </c>
      <c r="AE890" t="s">
        <v>113</v>
      </c>
      <c r="AG890" t="s">
        <v>114</v>
      </c>
    </row>
    <row r="891" spans="1:33" x14ac:dyDescent="0.25">
      <c r="A891" t="str">
        <f>"1740549286"</f>
        <v>1740549286</v>
      </c>
      <c r="B891" t="str">
        <f>"03484888"</f>
        <v>03484888</v>
      </c>
      <c r="C891" t="s">
        <v>3686</v>
      </c>
      <c r="D891" t="s">
        <v>3687</v>
      </c>
      <c r="E891" t="s">
        <v>3688</v>
      </c>
      <c r="G891" t="s">
        <v>176</v>
      </c>
      <c r="H891" t="s">
        <v>177</v>
      </c>
      <c r="I891">
        <v>3264</v>
      </c>
      <c r="J891" t="s">
        <v>178</v>
      </c>
      <c r="L891" t="s">
        <v>166</v>
      </c>
      <c r="M891" t="s">
        <v>167</v>
      </c>
      <c r="R891" t="s">
        <v>3686</v>
      </c>
      <c r="W891" t="s">
        <v>3688</v>
      </c>
      <c r="X891" t="s">
        <v>259</v>
      </c>
      <c r="Y891" t="s">
        <v>183</v>
      </c>
      <c r="Z891" t="s">
        <v>110</v>
      </c>
      <c r="AA891" t="str">
        <f>"10452-2001"</f>
        <v>10452-2001</v>
      </c>
      <c r="AB891" t="s">
        <v>172</v>
      </c>
      <c r="AC891" t="s">
        <v>112</v>
      </c>
      <c r="AD891" t="s">
        <v>107</v>
      </c>
      <c r="AE891" t="s">
        <v>113</v>
      </c>
      <c r="AG891" t="s">
        <v>114</v>
      </c>
    </row>
    <row r="892" spans="1:33" x14ac:dyDescent="0.25">
      <c r="A892" t="str">
        <f>"1821088642"</f>
        <v>1821088642</v>
      </c>
      <c r="B892" t="str">
        <f>"00839405"</f>
        <v>00839405</v>
      </c>
      <c r="C892" t="s">
        <v>3689</v>
      </c>
      <c r="D892" t="s">
        <v>3690</v>
      </c>
      <c r="E892" t="s">
        <v>3691</v>
      </c>
      <c r="G892" t="s">
        <v>1027</v>
      </c>
      <c r="H892" t="s">
        <v>1028</v>
      </c>
      <c r="J892" t="s">
        <v>1029</v>
      </c>
      <c r="L892" t="s">
        <v>117</v>
      </c>
      <c r="M892" t="s">
        <v>107</v>
      </c>
      <c r="R892" t="s">
        <v>3689</v>
      </c>
      <c r="W892" t="s">
        <v>3691</v>
      </c>
      <c r="X892" t="s">
        <v>3692</v>
      </c>
      <c r="Y892" t="s">
        <v>109</v>
      </c>
      <c r="Z892" t="s">
        <v>110</v>
      </c>
      <c r="AA892" t="str">
        <f>"11374-2795"</f>
        <v>11374-2795</v>
      </c>
      <c r="AB892" t="s">
        <v>172</v>
      </c>
      <c r="AC892" t="s">
        <v>112</v>
      </c>
      <c r="AD892" t="s">
        <v>107</v>
      </c>
      <c r="AE892" t="s">
        <v>113</v>
      </c>
      <c r="AG892" t="s">
        <v>114</v>
      </c>
    </row>
    <row r="893" spans="1:33" x14ac:dyDescent="0.25">
      <c r="A893" t="str">
        <f>"1558469262"</f>
        <v>1558469262</v>
      </c>
      <c r="B893" t="str">
        <f>"01468042"</f>
        <v>01468042</v>
      </c>
      <c r="C893" t="s">
        <v>3693</v>
      </c>
      <c r="D893" t="s">
        <v>3694</v>
      </c>
      <c r="E893" t="s">
        <v>3695</v>
      </c>
      <c r="G893" t="s">
        <v>203</v>
      </c>
      <c r="H893" t="s">
        <v>204</v>
      </c>
      <c r="J893" t="s">
        <v>205</v>
      </c>
      <c r="L893" t="s">
        <v>215</v>
      </c>
      <c r="M893" t="s">
        <v>107</v>
      </c>
      <c r="R893" t="s">
        <v>3693</v>
      </c>
      <c r="W893" t="s">
        <v>3696</v>
      </c>
      <c r="X893" t="s">
        <v>3697</v>
      </c>
      <c r="Y893" t="s">
        <v>422</v>
      </c>
      <c r="Z893" t="s">
        <v>110</v>
      </c>
      <c r="AA893" t="str">
        <f>"11432"</f>
        <v>11432</v>
      </c>
      <c r="AB893" t="s">
        <v>172</v>
      </c>
      <c r="AC893" t="s">
        <v>112</v>
      </c>
      <c r="AD893" t="s">
        <v>107</v>
      </c>
      <c r="AE893" t="s">
        <v>113</v>
      </c>
      <c r="AG893" t="s">
        <v>114</v>
      </c>
    </row>
    <row r="894" spans="1:33" x14ac:dyDescent="0.25">
      <c r="A894" t="str">
        <f>"1629038369"</f>
        <v>1629038369</v>
      </c>
      <c r="B894" t="str">
        <f>"02376965"</f>
        <v>02376965</v>
      </c>
      <c r="C894" t="s">
        <v>3698</v>
      </c>
      <c r="D894" t="s">
        <v>3699</v>
      </c>
      <c r="E894" t="s">
        <v>3700</v>
      </c>
      <c r="G894" t="s">
        <v>3701</v>
      </c>
      <c r="H894" t="s">
        <v>3702</v>
      </c>
      <c r="J894" t="s">
        <v>3703</v>
      </c>
      <c r="L894" t="s">
        <v>315</v>
      </c>
      <c r="M894" t="s">
        <v>107</v>
      </c>
      <c r="R894" t="s">
        <v>3698</v>
      </c>
      <c r="W894" t="s">
        <v>3700</v>
      </c>
      <c r="X894" t="s">
        <v>3704</v>
      </c>
      <c r="Y894" t="s">
        <v>325</v>
      </c>
      <c r="Z894" t="s">
        <v>110</v>
      </c>
      <c r="AA894" t="str">
        <f>"10038"</f>
        <v>10038</v>
      </c>
      <c r="AB894" t="s">
        <v>172</v>
      </c>
      <c r="AC894" t="s">
        <v>112</v>
      </c>
      <c r="AD894" t="s">
        <v>107</v>
      </c>
      <c r="AE894" t="s">
        <v>113</v>
      </c>
      <c r="AG894" t="s">
        <v>114</v>
      </c>
    </row>
    <row r="895" spans="1:33" x14ac:dyDescent="0.25">
      <c r="A895" t="str">
        <f>"1043328289"</f>
        <v>1043328289</v>
      </c>
      <c r="B895" t="str">
        <f>"01634197"</f>
        <v>01634197</v>
      </c>
      <c r="C895" t="s">
        <v>3705</v>
      </c>
      <c r="D895" t="s">
        <v>3706</v>
      </c>
      <c r="E895" t="s">
        <v>3707</v>
      </c>
      <c r="G895" t="s">
        <v>3701</v>
      </c>
      <c r="H895" t="s">
        <v>3702</v>
      </c>
      <c r="J895" t="s">
        <v>3703</v>
      </c>
      <c r="L895" t="s">
        <v>215</v>
      </c>
      <c r="M895" t="s">
        <v>107</v>
      </c>
      <c r="R895" t="s">
        <v>3705</v>
      </c>
      <c r="W895" t="s">
        <v>3707</v>
      </c>
      <c r="X895" t="s">
        <v>3708</v>
      </c>
      <c r="Y895" t="s">
        <v>183</v>
      </c>
      <c r="Z895" t="s">
        <v>110</v>
      </c>
      <c r="AA895" t="str">
        <f>"10471"</f>
        <v>10471</v>
      </c>
      <c r="AB895" t="s">
        <v>172</v>
      </c>
      <c r="AC895" t="s">
        <v>112</v>
      </c>
      <c r="AD895" t="s">
        <v>107</v>
      </c>
      <c r="AE895" t="s">
        <v>113</v>
      </c>
      <c r="AG895" t="s">
        <v>114</v>
      </c>
    </row>
    <row r="896" spans="1:33" x14ac:dyDescent="0.25">
      <c r="A896" t="str">
        <f>"1508809740"</f>
        <v>1508809740</v>
      </c>
      <c r="B896" t="str">
        <f>"00965260"</f>
        <v>00965260</v>
      </c>
      <c r="C896" t="s">
        <v>3709</v>
      </c>
      <c r="D896" t="s">
        <v>3710</v>
      </c>
      <c r="E896" t="s">
        <v>3711</v>
      </c>
      <c r="G896" t="s">
        <v>3701</v>
      </c>
      <c r="H896" t="s">
        <v>3702</v>
      </c>
      <c r="J896" t="s">
        <v>3703</v>
      </c>
      <c r="L896" t="s">
        <v>166</v>
      </c>
      <c r="M896" t="s">
        <v>107</v>
      </c>
      <c r="R896" t="s">
        <v>3709</v>
      </c>
      <c r="W896" t="s">
        <v>3711</v>
      </c>
      <c r="X896" t="s">
        <v>3712</v>
      </c>
      <c r="Y896" t="s">
        <v>171</v>
      </c>
      <c r="Z896" t="s">
        <v>110</v>
      </c>
      <c r="AA896" t="str">
        <f>"11373"</f>
        <v>11373</v>
      </c>
      <c r="AB896" t="s">
        <v>172</v>
      </c>
      <c r="AC896" t="s">
        <v>112</v>
      </c>
      <c r="AD896" t="s">
        <v>107</v>
      </c>
      <c r="AE896" t="s">
        <v>113</v>
      </c>
      <c r="AG896" t="s">
        <v>114</v>
      </c>
    </row>
    <row r="897" spans="1:33" x14ac:dyDescent="0.25">
      <c r="A897" t="str">
        <f>"1922180363"</f>
        <v>1922180363</v>
      </c>
      <c r="B897" t="str">
        <f>"01421636"</f>
        <v>01421636</v>
      </c>
      <c r="C897" t="s">
        <v>3713</v>
      </c>
      <c r="D897" t="s">
        <v>3714</v>
      </c>
      <c r="E897" t="s">
        <v>3713</v>
      </c>
      <c r="G897" t="s">
        <v>3715</v>
      </c>
      <c r="H897" t="s">
        <v>3716</v>
      </c>
      <c r="J897" t="s">
        <v>3717</v>
      </c>
      <c r="L897" t="s">
        <v>14</v>
      </c>
      <c r="M897" t="s">
        <v>167</v>
      </c>
      <c r="R897" t="s">
        <v>3718</v>
      </c>
      <c r="W897" t="s">
        <v>3713</v>
      </c>
      <c r="X897" t="s">
        <v>3719</v>
      </c>
      <c r="Y897" t="s">
        <v>1006</v>
      </c>
      <c r="Z897" t="s">
        <v>110</v>
      </c>
      <c r="AA897" t="str">
        <f>"10305-3499"</f>
        <v>10305-3499</v>
      </c>
      <c r="AB897" t="s">
        <v>688</v>
      </c>
      <c r="AC897" t="s">
        <v>112</v>
      </c>
      <c r="AD897" t="s">
        <v>107</v>
      </c>
      <c r="AE897" t="s">
        <v>113</v>
      </c>
      <c r="AG897" t="s">
        <v>114</v>
      </c>
    </row>
    <row r="898" spans="1:33" x14ac:dyDescent="0.25">
      <c r="A898" t="str">
        <f>"1992895320"</f>
        <v>1992895320</v>
      </c>
      <c r="B898" t="str">
        <f>"02536152"</f>
        <v>02536152</v>
      </c>
      <c r="C898" t="s">
        <v>3720</v>
      </c>
      <c r="D898" t="s">
        <v>3721</v>
      </c>
      <c r="E898" t="s">
        <v>3722</v>
      </c>
      <c r="G898" t="s">
        <v>3715</v>
      </c>
      <c r="H898" t="s">
        <v>3716</v>
      </c>
      <c r="J898" t="s">
        <v>3717</v>
      </c>
      <c r="L898" t="s">
        <v>106</v>
      </c>
      <c r="M898" t="s">
        <v>107</v>
      </c>
      <c r="R898" t="s">
        <v>3720</v>
      </c>
      <c r="W898" t="s">
        <v>3722</v>
      </c>
      <c r="X898" t="s">
        <v>3723</v>
      </c>
      <c r="Y898" t="s">
        <v>1006</v>
      </c>
      <c r="Z898" t="s">
        <v>110</v>
      </c>
      <c r="AA898" t="str">
        <f>"10305-3409"</f>
        <v>10305-3409</v>
      </c>
      <c r="AB898" t="s">
        <v>172</v>
      </c>
      <c r="AC898" t="s">
        <v>112</v>
      </c>
      <c r="AD898" t="s">
        <v>107</v>
      </c>
      <c r="AE898" t="s">
        <v>113</v>
      </c>
      <c r="AG898" t="s">
        <v>114</v>
      </c>
    </row>
    <row r="899" spans="1:33" x14ac:dyDescent="0.25">
      <c r="A899" t="str">
        <f>"1508055856"</f>
        <v>1508055856</v>
      </c>
      <c r="B899" t="str">
        <f>"02939788"</f>
        <v>02939788</v>
      </c>
      <c r="C899" t="s">
        <v>3724</v>
      </c>
      <c r="D899" t="s">
        <v>3725</v>
      </c>
      <c r="E899" t="s">
        <v>3726</v>
      </c>
      <c r="G899" t="s">
        <v>3715</v>
      </c>
      <c r="H899" t="s">
        <v>3716</v>
      </c>
      <c r="J899" t="s">
        <v>3717</v>
      </c>
      <c r="L899" t="s">
        <v>166</v>
      </c>
      <c r="M899" t="s">
        <v>107</v>
      </c>
      <c r="R899" t="s">
        <v>3724</v>
      </c>
      <c r="W899" t="s">
        <v>3727</v>
      </c>
      <c r="X899" t="s">
        <v>3217</v>
      </c>
      <c r="Y899" t="s">
        <v>1006</v>
      </c>
      <c r="Z899" t="s">
        <v>110</v>
      </c>
      <c r="AA899" t="str">
        <f>"10310-1664"</f>
        <v>10310-1664</v>
      </c>
      <c r="AB899" t="s">
        <v>172</v>
      </c>
      <c r="AC899" t="s">
        <v>112</v>
      </c>
      <c r="AD899" t="s">
        <v>107</v>
      </c>
      <c r="AE899" t="s">
        <v>113</v>
      </c>
      <c r="AG899" t="s">
        <v>114</v>
      </c>
    </row>
    <row r="900" spans="1:33" x14ac:dyDescent="0.25">
      <c r="A900" t="str">
        <f>"1154431021"</f>
        <v>1154431021</v>
      </c>
      <c r="B900" t="str">
        <f>"01077545"</f>
        <v>01077545</v>
      </c>
      <c r="C900" t="s">
        <v>3728</v>
      </c>
      <c r="D900" t="s">
        <v>3729</v>
      </c>
      <c r="E900" t="s">
        <v>3730</v>
      </c>
      <c r="G900" t="s">
        <v>308</v>
      </c>
      <c r="H900" t="s">
        <v>309</v>
      </c>
      <c r="J900" t="s">
        <v>310</v>
      </c>
      <c r="L900" t="s">
        <v>215</v>
      </c>
      <c r="M900" t="s">
        <v>107</v>
      </c>
      <c r="R900" t="s">
        <v>3728</v>
      </c>
      <c r="W900" t="s">
        <v>3730</v>
      </c>
      <c r="X900" t="s">
        <v>3731</v>
      </c>
      <c r="Y900" t="s">
        <v>240</v>
      </c>
      <c r="Z900" t="s">
        <v>110</v>
      </c>
      <c r="AA900" t="str">
        <f>"11234-6514"</f>
        <v>11234-6514</v>
      </c>
      <c r="AB900" t="s">
        <v>172</v>
      </c>
      <c r="AC900" t="s">
        <v>112</v>
      </c>
      <c r="AD900" t="s">
        <v>107</v>
      </c>
      <c r="AE900" t="s">
        <v>113</v>
      </c>
      <c r="AG900" t="s">
        <v>114</v>
      </c>
    </row>
    <row r="901" spans="1:33" x14ac:dyDescent="0.25">
      <c r="A901" t="str">
        <f>"1063487908"</f>
        <v>1063487908</v>
      </c>
      <c r="B901" t="str">
        <f>"00461367"</f>
        <v>00461367</v>
      </c>
      <c r="C901" t="s">
        <v>3732</v>
      </c>
      <c r="D901" t="s">
        <v>3733</v>
      </c>
      <c r="E901" t="s">
        <v>3734</v>
      </c>
      <c r="G901" t="s">
        <v>308</v>
      </c>
      <c r="H901" t="s">
        <v>309</v>
      </c>
      <c r="J901" t="s">
        <v>310</v>
      </c>
      <c r="L901" t="s">
        <v>166</v>
      </c>
      <c r="M901" t="s">
        <v>107</v>
      </c>
      <c r="R901" t="s">
        <v>3732</v>
      </c>
      <c r="W901" t="s">
        <v>3734</v>
      </c>
      <c r="X901" t="s">
        <v>3735</v>
      </c>
      <c r="Y901" t="s">
        <v>647</v>
      </c>
      <c r="Z901" t="s">
        <v>110</v>
      </c>
      <c r="AA901" t="str">
        <f>"11365-2242"</f>
        <v>11365-2242</v>
      </c>
      <c r="AB901" t="s">
        <v>172</v>
      </c>
      <c r="AC901" t="s">
        <v>112</v>
      </c>
      <c r="AD901" t="s">
        <v>107</v>
      </c>
      <c r="AE901" t="s">
        <v>113</v>
      </c>
      <c r="AG901" t="s">
        <v>114</v>
      </c>
    </row>
    <row r="902" spans="1:33" x14ac:dyDescent="0.25">
      <c r="A902" t="str">
        <f>"1174519268"</f>
        <v>1174519268</v>
      </c>
      <c r="B902" t="str">
        <f>"00149353"</f>
        <v>00149353</v>
      </c>
      <c r="C902" t="s">
        <v>3736</v>
      </c>
      <c r="D902" t="s">
        <v>3737</v>
      </c>
      <c r="E902" t="s">
        <v>3738</v>
      </c>
      <c r="G902" t="s">
        <v>308</v>
      </c>
      <c r="H902" t="s">
        <v>309</v>
      </c>
      <c r="J902" t="s">
        <v>310</v>
      </c>
      <c r="L902" t="s">
        <v>166</v>
      </c>
      <c r="M902" t="s">
        <v>107</v>
      </c>
      <c r="R902" t="s">
        <v>3736</v>
      </c>
      <c r="W902" t="s">
        <v>3738</v>
      </c>
      <c r="X902" t="s">
        <v>3739</v>
      </c>
      <c r="Y902" t="s">
        <v>235</v>
      </c>
      <c r="Z902" t="s">
        <v>110</v>
      </c>
      <c r="AA902" t="str">
        <f>"11360-2019"</f>
        <v>11360-2019</v>
      </c>
      <c r="AB902" t="s">
        <v>172</v>
      </c>
      <c r="AC902" t="s">
        <v>112</v>
      </c>
      <c r="AD902" t="s">
        <v>107</v>
      </c>
      <c r="AE902" t="s">
        <v>113</v>
      </c>
      <c r="AG902" t="s">
        <v>114</v>
      </c>
    </row>
    <row r="903" spans="1:33" x14ac:dyDescent="0.25">
      <c r="A903" t="str">
        <f>"1790721710"</f>
        <v>1790721710</v>
      </c>
      <c r="B903" t="str">
        <f>"00777142"</f>
        <v>00777142</v>
      </c>
      <c r="C903" t="s">
        <v>3740</v>
      </c>
      <c r="D903" t="s">
        <v>3741</v>
      </c>
      <c r="E903" t="s">
        <v>3742</v>
      </c>
      <c r="G903" t="s">
        <v>289</v>
      </c>
      <c r="H903" t="s">
        <v>290</v>
      </c>
      <c r="J903" t="s">
        <v>291</v>
      </c>
      <c r="L903" t="s">
        <v>117</v>
      </c>
      <c r="M903" t="s">
        <v>167</v>
      </c>
      <c r="R903" t="s">
        <v>3740</v>
      </c>
      <c r="W903" t="s">
        <v>3742</v>
      </c>
      <c r="X903" t="s">
        <v>642</v>
      </c>
      <c r="Y903" t="s">
        <v>481</v>
      </c>
      <c r="Z903" t="s">
        <v>110</v>
      </c>
      <c r="AA903" t="str">
        <f>"11427-1715"</f>
        <v>11427-1715</v>
      </c>
      <c r="AB903" t="s">
        <v>172</v>
      </c>
      <c r="AC903" t="s">
        <v>112</v>
      </c>
      <c r="AD903" t="s">
        <v>107</v>
      </c>
      <c r="AE903" t="s">
        <v>113</v>
      </c>
      <c r="AG903" t="s">
        <v>114</v>
      </c>
    </row>
    <row r="904" spans="1:33" x14ac:dyDescent="0.25">
      <c r="A904" t="str">
        <f>"1801039870"</f>
        <v>1801039870</v>
      </c>
      <c r="B904" t="str">
        <f>"03277694"</f>
        <v>03277694</v>
      </c>
      <c r="C904" t="s">
        <v>3743</v>
      </c>
      <c r="D904" t="s">
        <v>3744</v>
      </c>
      <c r="E904" t="s">
        <v>3745</v>
      </c>
      <c r="G904" t="s">
        <v>289</v>
      </c>
      <c r="H904" t="s">
        <v>290</v>
      </c>
      <c r="J904" t="s">
        <v>291</v>
      </c>
      <c r="L904" t="s">
        <v>117</v>
      </c>
      <c r="M904" t="s">
        <v>107</v>
      </c>
      <c r="R904" t="s">
        <v>3743</v>
      </c>
      <c r="W904" t="s">
        <v>3743</v>
      </c>
      <c r="X904" t="s">
        <v>3746</v>
      </c>
      <c r="Y904" t="s">
        <v>109</v>
      </c>
      <c r="Z904" t="s">
        <v>110</v>
      </c>
      <c r="AA904" t="str">
        <f>"11374-2039"</f>
        <v>11374-2039</v>
      </c>
      <c r="AB904" t="s">
        <v>172</v>
      </c>
      <c r="AC904" t="s">
        <v>112</v>
      </c>
      <c r="AD904" t="s">
        <v>107</v>
      </c>
      <c r="AE904" t="s">
        <v>113</v>
      </c>
      <c r="AG904" t="s">
        <v>114</v>
      </c>
    </row>
    <row r="905" spans="1:33" x14ac:dyDescent="0.25">
      <c r="A905" t="str">
        <f>"1043241649"</f>
        <v>1043241649</v>
      </c>
      <c r="B905" t="str">
        <f>"02848800"</f>
        <v>02848800</v>
      </c>
      <c r="C905" t="s">
        <v>3747</v>
      </c>
      <c r="D905" t="s">
        <v>3748</v>
      </c>
      <c r="E905" t="s">
        <v>3749</v>
      </c>
      <c r="G905" t="s">
        <v>289</v>
      </c>
      <c r="H905" t="s">
        <v>290</v>
      </c>
      <c r="J905" t="s">
        <v>291</v>
      </c>
      <c r="L905" t="s">
        <v>117</v>
      </c>
      <c r="M905" t="s">
        <v>107</v>
      </c>
      <c r="R905" t="s">
        <v>3747</v>
      </c>
      <c r="W905" t="s">
        <v>3749</v>
      </c>
      <c r="X905" t="s">
        <v>3750</v>
      </c>
      <c r="Y905" t="s">
        <v>240</v>
      </c>
      <c r="Z905" t="s">
        <v>110</v>
      </c>
      <c r="AA905" t="str">
        <f>"11219-2918"</f>
        <v>11219-2918</v>
      </c>
      <c r="AB905" t="s">
        <v>172</v>
      </c>
      <c r="AC905" t="s">
        <v>112</v>
      </c>
      <c r="AD905" t="s">
        <v>107</v>
      </c>
      <c r="AE905" t="s">
        <v>113</v>
      </c>
      <c r="AG905" t="s">
        <v>114</v>
      </c>
    </row>
    <row r="906" spans="1:33" x14ac:dyDescent="0.25">
      <c r="A906" t="str">
        <f>"1669537122"</f>
        <v>1669537122</v>
      </c>
      <c r="B906" t="str">
        <f>"03776978"</f>
        <v>03776978</v>
      </c>
      <c r="C906" t="s">
        <v>3751</v>
      </c>
      <c r="D906" t="s">
        <v>3752</v>
      </c>
      <c r="E906" t="s">
        <v>3753</v>
      </c>
      <c r="G906" t="s">
        <v>289</v>
      </c>
      <c r="H906" t="s">
        <v>290</v>
      </c>
      <c r="J906" t="s">
        <v>291</v>
      </c>
      <c r="L906" t="s">
        <v>106</v>
      </c>
      <c r="M906" t="s">
        <v>107</v>
      </c>
      <c r="R906" t="s">
        <v>3751</v>
      </c>
      <c r="W906" t="s">
        <v>3754</v>
      </c>
      <c r="X906" t="s">
        <v>619</v>
      </c>
      <c r="Y906" t="s">
        <v>481</v>
      </c>
      <c r="Z906" t="s">
        <v>110</v>
      </c>
      <c r="AA906" t="str">
        <f>"11427-2128"</f>
        <v>11427-2128</v>
      </c>
      <c r="AB906" t="s">
        <v>172</v>
      </c>
      <c r="AC906" t="s">
        <v>112</v>
      </c>
      <c r="AD906" t="s">
        <v>107</v>
      </c>
      <c r="AE906" t="s">
        <v>113</v>
      </c>
      <c r="AG906" t="s">
        <v>114</v>
      </c>
    </row>
    <row r="907" spans="1:33" x14ac:dyDescent="0.25">
      <c r="A907" t="str">
        <f>"1700931656"</f>
        <v>1700931656</v>
      </c>
      <c r="B907" t="str">
        <f>"01841327"</f>
        <v>01841327</v>
      </c>
      <c r="C907" t="s">
        <v>3755</v>
      </c>
      <c r="D907" t="s">
        <v>3756</v>
      </c>
      <c r="E907" t="s">
        <v>3757</v>
      </c>
      <c r="G907" t="s">
        <v>289</v>
      </c>
      <c r="H907" t="s">
        <v>290</v>
      </c>
      <c r="J907" t="s">
        <v>291</v>
      </c>
      <c r="L907" t="s">
        <v>106</v>
      </c>
      <c r="M907" t="s">
        <v>107</v>
      </c>
      <c r="R907" t="s">
        <v>3755</v>
      </c>
      <c r="W907" t="s">
        <v>3758</v>
      </c>
      <c r="X907" t="s">
        <v>3759</v>
      </c>
      <c r="Y907" t="s">
        <v>481</v>
      </c>
      <c r="Z907" t="s">
        <v>110</v>
      </c>
      <c r="AA907" t="str">
        <f>"11427-2128"</f>
        <v>11427-2128</v>
      </c>
      <c r="AB907" t="s">
        <v>172</v>
      </c>
      <c r="AC907" t="s">
        <v>112</v>
      </c>
      <c r="AD907" t="s">
        <v>107</v>
      </c>
      <c r="AE907" t="s">
        <v>113</v>
      </c>
      <c r="AG907" t="s">
        <v>114</v>
      </c>
    </row>
    <row r="908" spans="1:33" x14ac:dyDescent="0.25">
      <c r="A908" t="str">
        <f>"1265557177"</f>
        <v>1265557177</v>
      </c>
      <c r="B908" t="str">
        <f>"01005958"</f>
        <v>01005958</v>
      </c>
      <c r="C908" t="s">
        <v>3760</v>
      </c>
      <c r="D908" t="s">
        <v>3761</v>
      </c>
      <c r="E908" t="s">
        <v>3762</v>
      </c>
      <c r="G908" t="s">
        <v>289</v>
      </c>
      <c r="H908" t="s">
        <v>290</v>
      </c>
      <c r="J908" t="s">
        <v>291</v>
      </c>
      <c r="L908" t="s">
        <v>106</v>
      </c>
      <c r="M908" t="s">
        <v>107</v>
      </c>
      <c r="R908" t="s">
        <v>3760</v>
      </c>
      <c r="W908" t="s">
        <v>3762</v>
      </c>
      <c r="X908" t="s">
        <v>619</v>
      </c>
      <c r="Y908" t="s">
        <v>481</v>
      </c>
      <c r="Z908" t="s">
        <v>110</v>
      </c>
      <c r="AA908" t="str">
        <f>"11427-2128"</f>
        <v>11427-2128</v>
      </c>
      <c r="AB908" t="s">
        <v>172</v>
      </c>
      <c r="AC908" t="s">
        <v>112</v>
      </c>
      <c r="AD908" t="s">
        <v>107</v>
      </c>
      <c r="AE908" t="s">
        <v>113</v>
      </c>
      <c r="AG908" t="s">
        <v>114</v>
      </c>
    </row>
    <row r="909" spans="1:33" x14ac:dyDescent="0.25">
      <c r="A909" t="str">
        <f>"1225020027"</f>
        <v>1225020027</v>
      </c>
      <c r="B909" t="str">
        <f>"01617716"</f>
        <v>01617716</v>
      </c>
      <c r="C909" t="s">
        <v>3763</v>
      </c>
      <c r="D909" t="s">
        <v>3764</v>
      </c>
      <c r="E909" t="s">
        <v>3765</v>
      </c>
      <c r="G909" t="s">
        <v>289</v>
      </c>
      <c r="H909" t="s">
        <v>290</v>
      </c>
      <c r="J909" t="s">
        <v>291</v>
      </c>
      <c r="L909" t="s">
        <v>315</v>
      </c>
      <c r="M909" t="s">
        <v>107</v>
      </c>
      <c r="R909" t="s">
        <v>3763</v>
      </c>
      <c r="W909" t="s">
        <v>3765</v>
      </c>
      <c r="X909" t="s">
        <v>3766</v>
      </c>
      <c r="Y909" t="s">
        <v>235</v>
      </c>
      <c r="Z909" t="s">
        <v>110</v>
      </c>
      <c r="AA909" t="str">
        <f>"11364"</f>
        <v>11364</v>
      </c>
      <c r="AB909" t="s">
        <v>172</v>
      </c>
      <c r="AC909" t="s">
        <v>112</v>
      </c>
      <c r="AD909" t="s">
        <v>107</v>
      </c>
      <c r="AE909" t="s">
        <v>113</v>
      </c>
      <c r="AG909" t="s">
        <v>114</v>
      </c>
    </row>
    <row r="910" spans="1:33" x14ac:dyDescent="0.25">
      <c r="A910" t="str">
        <f>"1124166913"</f>
        <v>1124166913</v>
      </c>
      <c r="B910" t="str">
        <f>"03658266"</f>
        <v>03658266</v>
      </c>
      <c r="C910" t="s">
        <v>3767</v>
      </c>
      <c r="D910" t="s">
        <v>3768</v>
      </c>
      <c r="E910" t="s">
        <v>3769</v>
      </c>
      <c r="G910" t="s">
        <v>289</v>
      </c>
      <c r="H910" t="s">
        <v>290</v>
      </c>
      <c r="J910" t="s">
        <v>291</v>
      </c>
      <c r="L910" t="s">
        <v>373</v>
      </c>
      <c r="M910" t="s">
        <v>107</v>
      </c>
      <c r="R910" t="s">
        <v>3767</v>
      </c>
      <c r="W910" t="s">
        <v>3769</v>
      </c>
      <c r="X910" t="s">
        <v>3770</v>
      </c>
      <c r="Y910" t="s">
        <v>3771</v>
      </c>
      <c r="Z910" t="s">
        <v>110</v>
      </c>
      <c r="AA910" t="str">
        <f>"11717-1019"</f>
        <v>11717-1019</v>
      </c>
      <c r="AB910" t="s">
        <v>326</v>
      </c>
      <c r="AC910" t="s">
        <v>112</v>
      </c>
      <c r="AD910" t="s">
        <v>107</v>
      </c>
      <c r="AE910" t="s">
        <v>113</v>
      </c>
      <c r="AG910" t="s">
        <v>114</v>
      </c>
    </row>
    <row r="911" spans="1:33" x14ac:dyDescent="0.25">
      <c r="A911" t="str">
        <f>"1174648901"</f>
        <v>1174648901</v>
      </c>
      <c r="B911" t="str">
        <f>"01245803"</f>
        <v>01245803</v>
      </c>
      <c r="C911" t="s">
        <v>3772</v>
      </c>
      <c r="D911" t="s">
        <v>3773</v>
      </c>
      <c r="E911" t="s">
        <v>3774</v>
      </c>
      <c r="G911" t="s">
        <v>289</v>
      </c>
      <c r="H911" t="s">
        <v>290</v>
      </c>
      <c r="J911" t="s">
        <v>291</v>
      </c>
      <c r="L911" t="s">
        <v>106</v>
      </c>
      <c r="M911" t="s">
        <v>107</v>
      </c>
      <c r="R911" t="s">
        <v>3772</v>
      </c>
      <c r="W911" t="s">
        <v>3774</v>
      </c>
      <c r="X911" t="s">
        <v>619</v>
      </c>
      <c r="Y911" t="s">
        <v>481</v>
      </c>
      <c r="Z911" t="s">
        <v>110</v>
      </c>
      <c r="AA911" t="str">
        <f>"11427-2128"</f>
        <v>11427-2128</v>
      </c>
      <c r="AB911" t="s">
        <v>172</v>
      </c>
      <c r="AC911" t="s">
        <v>112</v>
      </c>
      <c r="AD911" t="s">
        <v>107</v>
      </c>
      <c r="AE911" t="s">
        <v>113</v>
      </c>
      <c r="AG911" t="s">
        <v>114</v>
      </c>
    </row>
    <row r="912" spans="1:33" x14ac:dyDescent="0.25">
      <c r="A912" t="str">
        <f>"1598710360"</f>
        <v>1598710360</v>
      </c>
      <c r="B912" t="str">
        <f>"01402006"</f>
        <v>01402006</v>
      </c>
      <c r="C912" t="s">
        <v>3775</v>
      </c>
      <c r="D912" t="s">
        <v>3776</v>
      </c>
      <c r="E912" t="s">
        <v>3777</v>
      </c>
      <c r="G912" t="s">
        <v>289</v>
      </c>
      <c r="H912" t="s">
        <v>290</v>
      </c>
      <c r="J912" t="s">
        <v>291</v>
      </c>
      <c r="L912" t="s">
        <v>106</v>
      </c>
      <c r="M912" t="s">
        <v>107</v>
      </c>
      <c r="R912" t="s">
        <v>3775</v>
      </c>
      <c r="W912" t="s">
        <v>3777</v>
      </c>
      <c r="X912" t="s">
        <v>3624</v>
      </c>
      <c r="Y912" t="s">
        <v>240</v>
      </c>
      <c r="Z912" t="s">
        <v>110</v>
      </c>
      <c r="AA912" t="str">
        <f>"11235-7745"</f>
        <v>11235-7745</v>
      </c>
      <c r="AB912" t="s">
        <v>172</v>
      </c>
      <c r="AC912" t="s">
        <v>112</v>
      </c>
      <c r="AD912" t="s">
        <v>107</v>
      </c>
      <c r="AE912" t="s">
        <v>113</v>
      </c>
      <c r="AG912" t="s">
        <v>114</v>
      </c>
    </row>
    <row r="913" spans="1:33" x14ac:dyDescent="0.25">
      <c r="A913" t="str">
        <f>"1366746125"</f>
        <v>1366746125</v>
      </c>
      <c r="B913" t="str">
        <f>"03784952"</f>
        <v>03784952</v>
      </c>
      <c r="C913" t="s">
        <v>3778</v>
      </c>
      <c r="D913" t="s">
        <v>3779</v>
      </c>
      <c r="E913" t="s">
        <v>3778</v>
      </c>
      <c r="G913" t="s">
        <v>289</v>
      </c>
      <c r="H913" t="s">
        <v>290</v>
      </c>
      <c r="J913" t="s">
        <v>291</v>
      </c>
      <c r="L913" t="s">
        <v>106</v>
      </c>
      <c r="M913" t="s">
        <v>167</v>
      </c>
      <c r="R913" t="s">
        <v>3778</v>
      </c>
      <c r="W913" t="s">
        <v>3780</v>
      </c>
      <c r="X913" t="s">
        <v>3781</v>
      </c>
      <c r="Y913" t="s">
        <v>422</v>
      </c>
      <c r="Z913" t="s">
        <v>110</v>
      </c>
      <c r="AA913" t="str">
        <f>"11418-2832"</f>
        <v>11418-2832</v>
      </c>
      <c r="AB913" t="s">
        <v>172</v>
      </c>
      <c r="AC913" t="s">
        <v>112</v>
      </c>
      <c r="AD913" t="s">
        <v>107</v>
      </c>
      <c r="AE913" t="s">
        <v>113</v>
      </c>
      <c r="AG913" t="s">
        <v>114</v>
      </c>
    </row>
    <row r="914" spans="1:33" x14ac:dyDescent="0.25">
      <c r="A914" t="str">
        <f>"1144230921"</f>
        <v>1144230921</v>
      </c>
      <c r="B914" t="str">
        <f>"01828317"</f>
        <v>01828317</v>
      </c>
      <c r="C914" t="s">
        <v>3782</v>
      </c>
      <c r="D914" t="s">
        <v>3783</v>
      </c>
      <c r="E914" t="s">
        <v>3784</v>
      </c>
      <c r="G914" t="s">
        <v>289</v>
      </c>
      <c r="H914" t="s">
        <v>290</v>
      </c>
      <c r="J914" t="s">
        <v>291</v>
      </c>
      <c r="L914" t="s">
        <v>166</v>
      </c>
      <c r="M914" t="s">
        <v>167</v>
      </c>
      <c r="R914" t="s">
        <v>3782</v>
      </c>
      <c r="W914" t="s">
        <v>3784</v>
      </c>
      <c r="X914" t="s">
        <v>3785</v>
      </c>
      <c r="Y914" t="s">
        <v>240</v>
      </c>
      <c r="Z914" t="s">
        <v>110</v>
      </c>
      <c r="AA914" t="str">
        <f>"11238-4266"</f>
        <v>11238-4266</v>
      </c>
      <c r="AB914" t="s">
        <v>172</v>
      </c>
      <c r="AC914" t="s">
        <v>112</v>
      </c>
      <c r="AD914" t="s">
        <v>107</v>
      </c>
      <c r="AE914" t="s">
        <v>113</v>
      </c>
      <c r="AG914" t="s">
        <v>114</v>
      </c>
    </row>
    <row r="915" spans="1:33" x14ac:dyDescent="0.25">
      <c r="A915" t="str">
        <f>"1770797680"</f>
        <v>1770797680</v>
      </c>
      <c r="B915" t="str">
        <f>"03380123"</f>
        <v>03380123</v>
      </c>
      <c r="C915" t="s">
        <v>3786</v>
      </c>
      <c r="D915" t="s">
        <v>3787</v>
      </c>
      <c r="E915" t="s">
        <v>3788</v>
      </c>
      <c r="G915" t="s">
        <v>289</v>
      </c>
      <c r="H915" t="s">
        <v>290</v>
      </c>
      <c r="J915" t="s">
        <v>291</v>
      </c>
      <c r="L915" t="s">
        <v>117</v>
      </c>
      <c r="M915" t="s">
        <v>107</v>
      </c>
      <c r="R915" t="s">
        <v>3786</v>
      </c>
      <c r="W915" t="s">
        <v>3788</v>
      </c>
      <c r="X915" t="s">
        <v>3789</v>
      </c>
      <c r="Y915" t="s">
        <v>637</v>
      </c>
      <c r="Z915" t="s">
        <v>110</v>
      </c>
      <c r="AA915" t="str">
        <f>"11003-4236"</f>
        <v>11003-4236</v>
      </c>
      <c r="AB915" t="s">
        <v>172</v>
      </c>
      <c r="AC915" t="s">
        <v>112</v>
      </c>
      <c r="AD915" t="s">
        <v>107</v>
      </c>
      <c r="AE915" t="s">
        <v>113</v>
      </c>
      <c r="AG915" t="s">
        <v>114</v>
      </c>
    </row>
    <row r="916" spans="1:33" x14ac:dyDescent="0.25">
      <c r="A916" t="str">
        <f>"1508910100"</f>
        <v>1508910100</v>
      </c>
      <c r="B916" t="str">
        <f>"00492613"</f>
        <v>00492613</v>
      </c>
      <c r="C916" t="s">
        <v>3790</v>
      </c>
      <c r="D916" t="s">
        <v>3791</v>
      </c>
      <c r="E916" t="s">
        <v>3792</v>
      </c>
      <c r="G916" t="s">
        <v>289</v>
      </c>
      <c r="H916" t="s">
        <v>290</v>
      </c>
      <c r="J916" t="s">
        <v>291</v>
      </c>
      <c r="L916" t="s">
        <v>373</v>
      </c>
      <c r="M916" t="s">
        <v>107</v>
      </c>
      <c r="R916" t="s">
        <v>3790</v>
      </c>
      <c r="W916" t="s">
        <v>3793</v>
      </c>
      <c r="X916" t="s">
        <v>619</v>
      </c>
      <c r="Y916" t="s">
        <v>481</v>
      </c>
      <c r="Z916" t="s">
        <v>110</v>
      </c>
      <c r="AA916" t="str">
        <f t="shared" ref="AA916:AA921" si="0">"11427-2128"</f>
        <v>11427-2128</v>
      </c>
      <c r="AB916" t="s">
        <v>172</v>
      </c>
      <c r="AC916" t="s">
        <v>112</v>
      </c>
      <c r="AD916" t="s">
        <v>107</v>
      </c>
      <c r="AE916" t="s">
        <v>113</v>
      </c>
      <c r="AG916" t="s">
        <v>114</v>
      </c>
    </row>
    <row r="917" spans="1:33" x14ac:dyDescent="0.25">
      <c r="A917" t="str">
        <f>"1487885232"</f>
        <v>1487885232</v>
      </c>
      <c r="B917" t="str">
        <f>"03720936"</f>
        <v>03720936</v>
      </c>
      <c r="C917" t="s">
        <v>3794</v>
      </c>
      <c r="D917" t="s">
        <v>3795</v>
      </c>
      <c r="E917" t="s">
        <v>3796</v>
      </c>
      <c r="G917" t="s">
        <v>289</v>
      </c>
      <c r="H917" t="s">
        <v>290</v>
      </c>
      <c r="J917" t="s">
        <v>291</v>
      </c>
      <c r="L917" t="s">
        <v>373</v>
      </c>
      <c r="M917" t="s">
        <v>107</v>
      </c>
      <c r="R917" t="s">
        <v>3794</v>
      </c>
      <c r="W917" t="s">
        <v>3796</v>
      </c>
      <c r="X917" t="s">
        <v>619</v>
      </c>
      <c r="Y917" t="s">
        <v>481</v>
      </c>
      <c r="Z917" t="s">
        <v>110</v>
      </c>
      <c r="AA917" t="str">
        <f t="shared" si="0"/>
        <v>11427-2128</v>
      </c>
      <c r="AB917" t="s">
        <v>326</v>
      </c>
      <c r="AC917" t="s">
        <v>112</v>
      </c>
      <c r="AD917" t="s">
        <v>107</v>
      </c>
      <c r="AE917" t="s">
        <v>113</v>
      </c>
      <c r="AG917" t="s">
        <v>114</v>
      </c>
    </row>
    <row r="918" spans="1:33" x14ac:dyDescent="0.25">
      <c r="A918" t="str">
        <f>"1588690325"</f>
        <v>1588690325</v>
      </c>
      <c r="B918" t="str">
        <f>"01086584"</f>
        <v>01086584</v>
      </c>
      <c r="C918" t="s">
        <v>3797</v>
      </c>
      <c r="D918" t="s">
        <v>3798</v>
      </c>
      <c r="E918" t="s">
        <v>3799</v>
      </c>
      <c r="G918" t="s">
        <v>289</v>
      </c>
      <c r="H918" t="s">
        <v>290</v>
      </c>
      <c r="J918" t="s">
        <v>291</v>
      </c>
      <c r="L918" t="s">
        <v>373</v>
      </c>
      <c r="M918" t="s">
        <v>107</v>
      </c>
      <c r="R918" t="s">
        <v>3797</v>
      </c>
      <c r="W918" t="s">
        <v>3800</v>
      </c>
      <c r="X918" t="s">
        <v>619</v>
      </c>
      <c r="Y918" t="s">
        <v>481</v>
      </c>
      <c r="Z918" t="s">
        <v>110</v>
      </c>
      <c r="AA918" t="str">
        <f t="shared" si="0"/>
        <v>11427-2128</v>
      </c>
      <c r="AB918" t="s">
        <v>172</v>
      </c>
      <c r="AC918" t="s">
        <v>112</v>
      </c>
      <c r="AD918" t="s">
        <v>107</v>
      </c>
      <c r="AE918" t="s">
        <v>113</v>
      </c>
      <c r="AG918" t="s">
        <v>114</v>
      </c>
    </row>
    <row r="919" spans="1:33" x14ac:dyDescent="0.25">
      <c r="A919" t="str">
        <f>"1144369158"</f>
        <v>1144369158</v>
      </c>
      <c r="B919" t="str">
        <f>"00541846"</f>
        <v>00541846</v>
      </c>
      <c r="C919" t="s">
        <v>3801</v>
      </c>
      <c r="D919" t="s">
        <v>3802</v>
      </c>
      <c r="E919" t="s">
        <v>3803</v>
      </c>
      <c r="G919" t="s">
        <v>289</v>
      </c>
      <c r="H919" t="s">
        <v>290</v>
      </c>
      <c r="J919" t="s">
        <v>291</v>
      </c>
      <c r="L919" t="s">
        <v>373</v>
      </c>
      <c r="M919" t="s">
        <v>107</v>
      </c>
      <c r="R919" t="s">
        <v>3801</v>
      </c>
      <c r="W919" t="s">
        <v>3801</v>
      </c>
      <c r="X919" t="s">
        <v>3804</v>
      </c>
      <c r="Y919" t="s">
        <v>481</v>
      </c>
      <c r="Z919" t="s">
        <v>110</v>
      </c>
      <c r="AA919" t="str">
        <f t="shared" si="0"/>
        <v>11427-2128</v>
      </c>
      <c r="AB919" t="s">
        <v>172</v>
      </c>
      <c r="AC919" t="s">
        <v>112</v>
      </c>
      <c r="AD919" t="s">
        <v>107</v>
      </c>
      <c r="AE919" t="s">
        <v>113</v>
      </c>
      <c r="AG919" t="s">
        <v>114</v>
      </c>
    </row>
    <row r="920" spans="1:33" x14ac:dyDescent="0.25">
      <c r="A920" t="str">
        <f>"1508004201"</f>
        <v>1508004201</v>
      </c>
      <c r="B920" t="str">
        <f>"03727406"</f>
        <v>03727406</v>
      </c>
      <c r="C920" t="s">
        <v>3805</v>
      </c>
      <c r="D920" t="s">
        <v>3806</v>
      </c>
      <c r="E920" t="s">
        <v>3805</v>
      </c>
      <c r="G920" t="s">
        <v>289</v>
      </c>
      <c r="H920" t="s">
        <v>290</v>
      </c>
      <c r="J920" t="s">
        <v>291</v>
      </c>
      <c r="L920" t="s">
        <v>106</v>
      </c>
      <c r="M920" t="s">
        <v>107</v>
      </c>
      <c r="R920" t="s">
        <v>3805</v>
      </c>
      <c r="W920" t="s">
        <v>3805</v>
      </c>
      <c r="X920" t="s">
        <v>3807</v>
      </c>
      <c r="Y920" t="s">
        <v>481</v>
      </c>
      <c r="Z920" t="s">
        <v>110</v>
      </c>
      <c r="AA920" t="str">
        <f t="shared" si="0"/>
        <v>11427-2128</v>
      </c>
      <c r="AB920" t="s">
        <v>172</v>
      </c>
      <c r="AC920" t="s">
        <v>112</v>
      </c>
      <c r="AD920" t="s">
        <v>107</v>
      </c>
      <c r="AE920" t="s">
        <v>113</v>
      </c>
      <c r="AG920" t="s">
        <v>114</v>
      </c>
    </row>
    <row r="921" spans="1:33" x14ac:dyDescent="0.25">
      <c r="A921" t="str">
        <f>"1649573403"</f>
        <v>1649573403</v>
      </c>
      <c r="B921" t="str">
        <f>"03682088"</f>
        <v>03682088</v>
      </c>
      <c r="C921" t="s">
        <v>3808</v>
      </c>
      <c r="D921" t="s">
        <v>3809</v>
      </c>
      <c r="E921" t="s">
        <v>3808</v>
      </c>
      <c r="G921" t="s">
        <v>289</v>
      </c>
      <c r="H921" t="s">
        <v>290</v>
      </c>
      <c r="J921" t="s">
        <v>291</v>
      </c>
      <c r="L921" t="s">
        <v>106</v>
      </c>
      <c r="M921" t="s">
        <v>107</v>
      </c>
      <c r="R921" t="s">
        <v>3808</v>
      </c>
      <c r="W921" t="s">
        <v>3808</v>
      </c>
      <c r="X921" t="s">
        <v>3201</v>
      </c>
      <c r="Y921" t="s">
        <v>481</v>
      </c>
      <c r="Z921" t="s">
        <v>110</v>
      </c>
      <c r="AA921" t="str">
        <f t="shared" si="0"/>
        <v>11427-2128</v>
      </c>
      <c r="AB921" t="s">
        <v>172</v>
      </c>
      <c r="AC921" t="s">
        <v>112</v>
      </c>
      <c r="AD921" t="s">
        <v>107</v>
      </c>
      <c r="AE921" t="s">
        <v>113</v>
      </c>
      <c r="AG921" t="s">
        <v>114</v>
      </c>
    </row>
    <row r="922" spans="1:33" x14ac:dyDescent="0.25">
      <c r="A922" t="str">
        <f>"1154427771"</f>
        <v>1154427771</v>
      </c>
      <c r="B922" t="str">
        <f>"01380065"</f>
        <v>01380065</v>
      </c>
      <c r="C922" t="s">
        <v>3810</v>
      </c>
      <c r="D922" t="s">
        <v>3811</v>
      </c>
      <c r="E922" t="s">
        <v>3812</v>
      </c>
      <c r="G922" t="s">
        <v>229</v>
      </c>
      <c r="H922" t="s">
        <v>230</v>
      </c>
      <c r="J922" t="s">
        <v>231</v>
      </c>
      <c r="L922" t="s">
        <v>106</v>
      </c>
      <c r="M922" t="s">
        <v>107</v>
      </c>
      <c r="R922" t="s">
        <v>3810</v>
      </c>
      <c r="W922" t="s">
        <v>3812</v>
      </c>
      <c r="X922" t="s">
        <v>234</v>
      </c>
      <c r="Y922" t="s">
        <v>235</v>
      </c>
      <c r="Z922" t="s">
        <v>110</v>
      </c>
      <c r="AA922" t="str">
        <f t="shared" ref="AA922:AA928" si="1">"11360-2810"</f>
        <v>11360-2810</v>
      </c>
      <c r="AB922" t="s">
        <v>172</v>
      </c>
      <c r="AC922" t="s">
        <v>112</v>
      </c>
      <c r="AD922" t="s">
        <v>107</v>
      </c>
      <c r="AE922" t="s">
        <v>113</v>
      </c>
      <c r="AG922" t="s">
        <v>114</v>
      </c>
    </row>
    <row r="923" spans="1:33" x14ac:dyDescent="0.25">
      <c r="A923" t="str">
        <f>"1205912243"</f>
        <v>1205912243</v>
      </c>
      <c r="B923" t="str">
        <f>"01626860"</f>
        <v>01626860</v>
      </c>
      <c r="C923" t="s">
        <v>3813</v>
      </c>
      <c r="D923" t="s">
        <v>3814</v>
      </c>
      <c r="E923" t="s">
        <v>3815</v>
      </c>
      <c r="G923" t="s">
        <v>229</v>
      </c>
      <c r="H923" t="s">
        <v>230</v>
      </c>
      <c r="J923" t="s">
        <v>231</v>
      </c>
      <c r="L923" t="s">
        <v>106</v>
      </c>
      <c r="M923" t="s">
        <v>107</v>
      </c>
      <c r="R923" t="s">
        <v>3813</v>
      </c>
      <c r="W923" t="s">
        <v>3815</v>
      </c>
      <c r="X923" t="s">
        <v>234</v>
      </c>
      <c r="Y923" t="s">
        <v>235</v>
      </c>
      <c r="Z923" t="s">
        <v>110</v>
      </c>
      <c r="AA923" t="str">
        <f t="shared" si="1"/>
        <v>11360-2810</v>
      </c>
      <c r="AB923" t="s">
        <v>172</v>
      </c>
      <c r="AC923" t="s">
        <v>112</v>
      </c>
      <c r="AD923" t="s">
        <v>107</v>
      </c>
      <c r="AE923" t="s">
        <v>113</v>
      </c>
      <c r="AG923" t="s">
        <v>114</v>
      </c>
    </row>
    <row r="924" spans="1:33" x14ac:dyDescent="0.25">
      <c r="A924" t="str">
        <f>"1265721591"</f>
        <v>1265721591</v>
      </c>
      <c r="B924" t="str">
        <f>"03336674"</f>
        <v>03336674</v>
      </c>
      <c r="C924" t="s">
        <v>3816</v>
      </c>
      <c r="D924" t="s">
        <v>3817</v>
      </c>
      <c r="E924" t="s">
        <v>3818</v>
      </c>
      <c r="G924" t="s">
        <v>229</v>
      </c>
      <c r="H924" t="s">
        <v>230</v>
      </c>
      <c r="J924" t="s">
        <v>231</v>
      </c>
      <c r="L924" t="s">
        <v>315</v>
      </c>
      <c r="M924" t="s">
        <v>107</v>
      </c>
      <c r="R924" t="s">
        <v>3816</v>
      </c>
      <c r="W924" t="s">
        <v>3818</v>
      </c>
      <c r="X924" t="s">
        <v>234</v>
      </c>
      <c r="Y924" t="s">
        <v>235</v>
      </c>
      <c r="Z924" t="s">
        <v>110</v>
      </c>
      <c r="AA924" t="str">
        <f t="shared" si="1"/>
        <v>11360-2810</v>
      </c>
      <c r="AB924" t="s">
        <v>172</v>
      </c>
      <c r="AC924" t="s">
        <v>112</v>
      </c>
      <c r="AD924" t="s">
        <v>107</v>
      </c>
      <c r="AE924" t="s">
        <v>113</v>
      </c>
      <c r="AG924" t="s">
        <v>114</v>
      </c>
    </row>
    <row r="925" spans="1:33" x14ac:dyDescent="0.25">
      <c r="A925" t="str">
        <f>"1811297914"</f>
        <v>1811297914</v>
      </c>
      <c r="B925" t="str">
        <f>"03823865"</f>
        <v>03823865</v>
      </c>
      <c r="C925" t="s">
        <v>3819</v>
      </c>
      <c r="D925" t="s">
        <v>3820</v>
      </c>
      <c r="E925" t="s">
        <v>3821</v>
      </c>
      <c r="G925" t="s">
        <v>229</v>
      </c>
      <c r="H925" t="s">
        <v>230</v>
      </c>
      <c r="J925" t="s">
        <v>231</v>
      </c>
      <c r="L925" t="s">
        <v>373</v>
      </c>
      <c r="M925" t="s">
        <v>107</v>
      </c>
      <c r="R925" t="s">
        <v>3819</v>
      </c>
      <c r="W925" t="s">
        <v>3822</v>
      </c>
      <c r="X925" t="s">
        <v>234</v>
      </c>
      <c r="Y925" t="s">
        <v>235</v>
      </c>
      <c r="Z925" t="s">
        <v>110</v>
      </c>
      <c r="AA925" t="str">
        <f t="shared" si="1"/>
        <v>11360-2810</v>
      </c>
      <c r="AB925" t="s">
        <v>172</v>
      </c>
      <c r="AC925" t="s">
        <v>112</v>
      </c>
      <c r="AD925" t="s">
        <v>107</v>
      </c>
      <c r="AE925" t="s">
        <v>113</v>
      </c>
      <c r="AG925" t="s">
        <v>114</v>
      </c>
    </row>
    <row r="926" spans="1:33" x14ac:dyDescent="0.25">
      <c r="A926" t="str">
        <f>"1902948375"</f>
        <v>1902948375</v>
      </c>
      <c r="B926" t="str">
        <f>"03813485"</f>
        <v>03813485</v>
      </c>
      <c r="C926" t="s">
        <v>3823</v>
      </c>
      <c r="D926" t="s">
        <v>3824</v>
      </c>
      <c r="E926" t="s">
        <v>3823</v>
      </c>
      <c r="G926" t="s">
        <v>229</v>
      </c>
      <c r="H926" t="s">
        <v>230</v>
      </c>
      <c r="J926" t="s">
        <v>231</v>
      </c>
      <c r="L926" t="s">
        <v>106</v>
      </c>
      <c r="M926" t="s">
        <v>107</v>
      </c>
      <c r="R926" t="s">
        <v>3823</v>
      </c>
      <c r="W926" t="s">
        <v>3823</v>
      </c>
      <c r="X926" t="s">
        <v>3825</v>
      </c>
      <c r="Y926" t="s">
        <v>235</v>
      </c>
      <c r="Z926" t="s">
        <v>110</v>
      </c>
      <c r="AA926" t="str">
        <f t="shared" si="1"/>
        <v>11360-2810</v>
      </c>
      <c r="AB926" t="s">
        <v>172</v>
      </c>
      <c r="AC926" t="s">
        <v>112</v>
      </c>
      <c r="AD926" t="s">
        <v>107</v>
      </c>
      <c r="AE926" t="s">
        <v>113</v>
      </c>
      <c r="AG926" t="s">
        <v>114</v>
      </c>
    </row>
    <row r="927" spans="1:33" x14ac:dyDescent="0.25">
      <c r="A927" t="str">
        <f>"1922421056"</f>
        <v>1922421056</v>
      </c>
      <c r="B927" t="str">
        <f>"03856026"</f>
        <v>03856026</v>
      </c>
      <c r="C927" t="s">
        <v>3826</v>
      </c>
      <c r="D927" t="s">
        <v>3827</v>
      </c>
      <c r="E927" t="s">
        <v>3828</v>
      </c>
      <c r="G927" t="s">
        <v>229</v>
      </c>
      <c r="H927" t="s">
        <v>230</v>
      </c>
      <c r="J927" t="s">
        <v>231</v>
      </c>
      <c r="L927" t="s">
        <v>106</v>
      </c>
      <c r="M927" t="s">
        <v>107</v>
      </c>
      <c r="R927" t="s">
        <v>3826</v>
      </c>
      <c r="W927" t="s">
        <v>3828</v>
      </c>
      <c r="X927" t="s">
        <v>2033</v>
      </c>
      <c r="Y927" t="s">
        <v>235</v>
      </c>
      <c r="Z927" t="s">
        <v>110</v>
      </c>
      <c r="AA927" t="str">
        <f t="shared" si="1"/>
        <v>11360-2810</v>
      </c>
      <c r="AB927" t="s">
        <v>172</v>
      </c>
      <c r="AC927" t="s">
        <v>112</v>
      </c>
      <c r="AD927" t="s">
        <v>107</v>
      </c>
      <c r="AE927" t="s">
        <v>113</v>
      </c>
      <c r="AG927" t="s">
        <v>114</v>
      </c>
    </row>
    <row r="928" spans="1:33" x14ac:dyDescent="0.25">
      <c r="A928" t="str">
        <f>"1093905770"</f>
        <v>1093905770</v>
      </c>
      <c r="B928" t="str">
        <f>"03798056"</f>
        <v>03798056</v>
      </c>
      <c r="C928" t="s">
        <v>3829</v>
      </c>
      <c r="D928" t="s">
        <v>3830</v>
      </c>
      <c r="E928" t="s">
        <v>3829</v>
      </c>
      <c r="G928" t="s">
        <v>229</v>
      </c>
      <c r="H928" t="s">
        <v>230</v>
      </c>
      <c r="J928" t="s">
        <v>231</v>
      </c>
      <c r="L928" t="s">
        <v>106</v>
      </c>
      <c r="M928" t="s">
        <v>107</v>
      </c>
      <c r="R928" t="s">
        <v>3829</v>
      </c>
      <c r="W928" t="s">
        <v>3829</v>
      </c>
      <c r="X928" t="s">
        <v>3831</v>
      </c>
      <c r="Y928" t="s">
        <v>235</v>
      </c>
      <c r="Z928" t="s">
        <v>110</v>
      </c>
      <c r="AA928" t="str">
        <f t="shared" si="1"/>
        <v>11360-2810</v>
      </c>
      <c r="AB928" t="s">
        <v>172</v>
      </c>
      <c r="AC928" t="s">
        <v>112</v>
      </c>
      <c r="AD928" t="s">
        <v>107</v>
      </c>
      <c r="AE928" t="s">
        <v>113</v>
      </c>
      <c r="AG928" t="s">
        <v>114</v>
      </c>
    </row>
    <row r="929" spans="1:33" x14ac:dyDescent="0.25">
      <c r="A929" t="str">
        <f>"1710910369"</f>
        <v>1710910369</v>
      </c>
      <c r="B929" t="str">
        <f>"00310756"</f>
        <v>00310756</v>
      </c>
      <c r="C929" t="s">
        <v>3832</v>
      </c>
      <c r="D929" t="s">
        <v>3833</v>
      </c>
      <c r="E929" t="s">
        <v>3832</v>
      </c>
      <c r="G929" t="s">
        <v>1054</v>
      </c>
      <c r="H929" t="s">
        <v>1055</v>
      </c>
      <c r="J929" t="s">
        <v>1056</v>
      </c>
      <c r="L929" t="s">
        <v>405</v>
      </c>
      <c r="M929" t="s">
        <v>167</v>
      </c>
      <c r="R929" t="s">
        <v>3832</v>
      </c>
      <c r="W929" t="s">
        <v>3832</v>
      </c>
      <c r="X929" t="s">
        <v>3834</v>
      </c>
      <c r="Y929" t="s">
        <v>183</v>
      </c>
      <c r="Z929" t="s">
        <v>110</v>
      </c>
      <c r="AA929" t="str">
        <f>"10467-7404"</f>
        <v>10467-7404</v>
      </c>
      <c r="AB929" t="s">
        <v>408</v>
      </c>
      <c r="AC929" t="s">
        <v>112</v>
      </c>
      <c r="AD929" t="s">
        <v>107</v>
      </c>
      <c r="AE929" t="s">
        <v>113</v>
      </c>
      <c r="AG929" t="s">
        <v>114</v>
      </c>
    </row>
    <row r="930" spans="1:33" x14ac:dyDescent="0.25">
      <c r="A930" t="str">
        <f>"1083780795"</f>
        <v>1083780795</v>
      </c>
      <c r="B930" t="str">
        <f>"03253463"</f>
        <v>03253463</v>
      </c>
      <c r="C930" t="s">
        <v>3835</v>
      </c>
      <c r="D930" t="s">
        <v>3836</v>
      </c>
      <c r="E930" t="s">
        <v>3835</v>
      </c>
      <c r="G930" t="s">
        <v>176</v>
      </c>
      <c r="H930" t="s">
        <v>177</v>
      </c>
      <c r="I930">
        <v>3264</v>
      </c>
      <c r="J930" t="s">
        <v>178</v>
      </c>
      <c r="L930" t="s">
        <v>215</v>
      </c>
      <c r="M930" t="s">
        <v>107</v>
      </c>
      <c r="R930" t="s">
        <v>3835</v>
      </c>
      <c r="W930" t="s">
        <v>3835</v>
      </c>
      <c r="X930" t="s">
        <v>556</v>
      </c>
      <c r="Y930" t="s">
        <v>183</v>
      </c>
      <c r="Z930" t="s">
        <v>110</v>
      </c>
      <c r="AA930" t="str">
        <f>"10452-2001"</f>
        <v>10452-2001</v>
      </c>
      <c r="AB930" t="s">
        <v>172</v>
      </c>
      <c r="AC930" t="s">
        <v>112</v>
      </c>
      <c r="AD930" t="s">
        <v>107</v>
      </c>
      <c r="AE930" t="s">
        <v>113</v>
      </c>
      <c r="AG930" t="s">
        <v>114</v>
      </c>
    </row>
    <row r="931" spans="1:33" x14ac:dyDescent="0.25">
      <c r="A931" t="str">
        <f>"1689879280"</f>
        <v>1689879280</v>
      </c>
      <c r="B931" t="str">
        <f>"02903579"</f>
        <v>02903579</v>
      </c>
      <c r="C931" t="s">
        <v>3837</v>
      </c>
      <c r="D931" t="s">
        <v>3838</v>
      </c>
      <c r="E931" t="s">
        <v>3839</v>
      </c>
      <c r="G931" t="s">
        <v>3840</v>
      </c>
      <c r="H931" t="s">
        <v>3841</v>
      </c>
      <c r="J931" t="s">
        <v>3842</v>
      </c>
      <c r="L931" t="s">
        <v>720</v>
      </c>
      <c r="M931" t="s">
        <v>167</v>
      </c>
      <c r="R931" t="s">
        <v>3843</v>
      </c>
      <c r="W931" t="s">
        <v>3844</v>
      </c>
      <c r="X931" t="s">
        <v>3845</v>
      </c>
      <c r="Y931" t="s">
        <v>422</v>
      </c>
      <c r="Z931" t="s">
        <v>110</v>
      </c>
      <c r="AA931" t="str">
        <f>"11432-3216"</f>
        <v>11432-3216</v>
      </c>
      <c r="AB931" t="s">
        <v>191</v>
      </c>
      <c r="AC931" t="s">
        <v>112</v>
      </c>
      <c r="AD931" t="s">
        <v>107</v>
      </c>
      <c r="AE931" t="s">
        <v>113</v>
      </c>
      <c r="AG931" t="s">
        <v>114</v>
      </c>
    </row>
    <row r="932" spans="1:33" x14ac:dyDescent="0.25">
      <c r="A932" t="str">
        <f>"1891701223"</f>
        <v>1891701223</v>
      </c>
      <c r="B932" t="str">
        <f>"02634893"</f>
        <v>02634893</v>
      </c>
      <c r="C932" t="s">
        <v>3846</v>
      </c>
      <c r="D932" t="s">
        <v>3847</v>
      </c>
      <c r="E932" t="s">
        <v>3848</v>
      </c>
      <c r="G932" t="s">
        <v>176</v>
      </c>
      <c r="H932" t="s">
        <v>177</v>
      </c>
      <c r="I932">
        <v>3264</v>
      </c>
      <c r="J932" t="s">
        <v>178</v>
      </c>
      <c r="L932" t="s">
        <v>166</v>
      </c>
      <c r="M932" t="s">
        <v>107</v>
      </c>
      <c r="R932" t="s">
        <v>3846</v>
      </c>
      <c r="W932" t="s">
        <v>3849</v>
      </c>
      <c r="X932" t="s">
        <v>3850</v>
      </c>
      <c r="Y932" t="s">
        <v>325</v>
      </c>
      <c r="Z932" t="s">
        <v>110</v>
      </c>
      <c r="AA932" t="str">
        <f>"10001-2320"</f>
        <v>10001-2320</v>
      </c>
      <c r="AB932" t="s">
        <v>172</v>
      </c>
      <c r="AC932" t="s">
        <v>112</v>
      </c>
      <c r="AD932" t="s">
        <v>107</v>
      </c>
      <c r="AE932" t="s">
        <v>113</v>
      </c>
      <c r="AG932" t="s">
        <v>114</v>
      </c>
    </row>
    <row r="933" spans="1:33" x14ac:dyDescent="0.25">
      <c r="A933" t="str">
        <f>"1962451468"</f>
        <v>1962451468</v>
      </c>
      <c r="B933" t="str">
        <f>"02129697"</f>
        <v>02129697</v>
      </c>
      <c r="C933" t="s">
        <v>3851</v>
      </c>
      <c r="D933" t="s">
        <v>3852</v>
      </c>
      <c r="E933" t="s">
        <v>3853</v>
      </c>
      <c r="G933" t="s">
        <v>267</v>
      </c>
      <c r="H933" t="s">
        <v>268</v>
      </c>
      <c r="I933">
        <v>4223</v>
      </c>
      <c r="J933" t="s">
        <v>269</v>
      </c>
      <c r="L933" t="s">
        <v>166</v>
      </c>
      <c r="M933" t="s">
        <v>107</v>
      </c>
      <c r="R933" t="s">
        <v>3851</v>
      </c>
      <c r="W933" t="s">
        <v>3853</v>
      </c>
      <c r="X933" t="s">
        <v>1565</v>
      </c>
      <c r="Y933" t="s">
        <v>225</v>
      </c>
      <c r="Z933" t="s">
        <v>110</v>
      </c>
      <c r="AA933" t="str">
        <f>"11366-1919"</f>
        <v>11366-1919</v>
      </c>
      <c r="AB933" t="s">
        <v>172</v>
      </c>
      <c r="AC933" t="s">
        <v>112</v>
      </c>
      <c r="AD933" t="s">
        <v>107</v>
      </c>
      <c r="AE933" t="s">
        <v>113</v>
      </c>
      <c r="AG933" t="s">
        <v>114</v>
      </c>
    </row>
    <row r="934" spans="1:33" x14ac:dyDescent="0.25">
      <c r="A934" t="str">
        <f>"1366782534"</f>
        <v>1366782534</v>
      </c>
      <c r="B934" t="str">
        <f>"00308769"</f>
        <v>00308769</v>
      </c>
      <c r="C934" t="s">
        <v>3854</v>
      </c>
      <c r="D934" t="s">
        <v>3855</v>
      </c>
      <c r="E934" t="s">
        <v>3856</v>
      </c>
      <c r="G934" t="s">
        <v>904</v>
      </c>
      <c r="H934" t="s">
        <v>905</v>
      </c>
      <c r="J934" t="s">
        <v>906</v>
      </c>
      <c r="L934" t="s">
        <v>405</v>
      </c>
      <c r="M934" t="s">
        <v>167</v>
      </c>
      <c r="R934" t="s">
        <v>3857</v>
      </c>
      <c r="W934" t="s">
        <v>3857</v>
      </c>
      <c r="X934" t="s">
        <v>3858</v>
      </c>
      <c r="Y934" t="s">
        <v>982</v>
      </c>
      <c r="Z934" t="s">
        <v>110</v>
      </c>
      <c r="AA934" t="str">
        <f>"11423-2982"</f>
        <v>11423-2982</v>
      </c>
      <c r="AB934" t="s">
        <v>408</v>
      </c>
      <c r="AC934" t="s">
        <v>112</v>
      </c>
      <c r="AD934" t="s">
        <v>107</v>
      </c>
      <c r="AE934" t="s">
        <v>113</v>
      </c>
      <c r="AG934" t="s">
        <v>114</v>
      </c>
    </row>
    <row r="935" spans="1:33" x14ac:dyDescent="0.25">
      <c r="A935" t="str">
        <f>"1710148549"</f>
        <v>1710148549</v>
      </c>
      <c r="C935" t="s">
        <v>3859</v>
      </c>
      <c r="G935" t="s">
        <v>766</v>
      </c>
      <c r="H935" t="s">
        <v>767</v>
      </c>
      <c r="J935" t="s">
        <v>768</v>
      </c>
      <c r="K935" t="s">
        <v>1616</v>
      </c>
      <c r="L935" t="s">
        <v>373</v>
      </c>
      <c r="M935" t="s">
        <v>107</v>
      </c>
      <c r="R935" t="s">
        <v>3860</v>
      </c>
      <c r="S935" t="s">
        <v>3861</v>
      </c>
      <c r="T935" t="s">
        <v>240</v>
      </c>
      <c r="U935" t="s">
        <v>110</v>
      </c>
      <c r="V935" t="str">
        <f>"112204742"</f>
        <v>112204742</v>
      </c>
      <c r="AC935" t="s">
        <v>112</v>
      </c>
      <c r="AD935" t="s">
        <v>107</v>
      </c>
      <c r="AE935" t="s">
        <v>278</v>
      </c>
      <c r="AG935" t="s">
        <v>114</v>
      </c>
    </row>
    <row r="936" spans="1:33" x14ac:dyDescent="0.25">
      <c r="A936" t="str">
        <f>"1144223314"</f>
        <v>1144223314</v>
      </c>
      <c r="B936" t="str">
        <f>"01897910"</f>
        <v>01897910</v>
      </c>
      <c r="C936" t="s">
        <v>3862</v>
      </c>
      <c r="D936" t="s">
        <v>3863</v>
      </c>
      <c r="E936" t="s">
        <v>3864</v>
      </c>
      <c r="G936" t="s">
        <v>308</v>
      </c>
      <c r="H936" t="s">
        <v>309</v>
      </c>
      <c r="J936" t="s">
        <v>310</v>
      </c>
      <c r="L936" t="s">
        <v>215</v>
      </c>
      <c r="M936" t="s">
        <v>107</v>
      </c>
      <c r="R936" t="s">
        <v>3862</v>
      </c>
      <c r="W936" t="s">
        <v>3865</v>
      </c>
      <c r="X936" t="s">
        <v>2455</v>
      </c>
      <c r="Y936" t="s">
        <v>240</v>
      </c>
      <c r="Z936" t="s">
        <v>110</v>
      </c>
      <c r="AA936" t="str">
        <f>"11237-4006"</f>
        <v>11237-4006</v>
      </c>
      <c r="AB936" t="s">
        <v>217</v>
      </c>
      <c r="AC936" t="s">
        <v>112</v>
      </c>
      <c r="AD936" t="s">
        <v>107</v>
      </c>
      <c r="AE936" t="s">
        <v>113</v>
      </c>
      <c r="AG936" t="s">
        <v>114</v>
      </c>
    </row>
    <row r="937" spans="1:33" x14ac:dyDescent="0.25">
      <c r="A937" t="str">
        <f>"1194840496"</f>
        <v>1194840496</v>
      </c>
      <c r="B937" t="str">
        <f>"03019409"</f>
        <v>03019409</v>
      </c>
      <c r="C937" t="s">
        <v>3866</v>
      </c>
      <c r="D937" t="s">
        <v>3867</v>
      </c>
      <c r="E937" t="s">
        <v>3866</v>
      </c>
      <c r="G937" t="s">
        <v>308</v>
      </c>
      <c r="H937" t="s">
        <v>309</v>
      </c>
      <c r="J937" t="s">
        <v>310</v>
      </c>
      <c r="L937" t="s">
        <v>215</v>
      </c>
      <c r="M937" t="s">
        <v>107</v>
      </c>
      <c r="R937" t="s">
        <v>3866</v>
      </c>
      <c r="W937" t="s">
        <v>3866</v>
      </c>
      <c r="X937" t="s">
        <v>506</v>
      </c>
      <c r="Y937" t="s">
        <v>225</v>
      </c>
      <c r="Z937" t="s">
        <v>110</v>
      </c>
      <c r="AA937" t="str">
        <f>"11355-2205"</f>
        <v>11355-2205</v>
      </c>
      <c r="AB937" t="s">
        <v>217</v>
      </c>
      <c r="AC937" t="s">
        <v>112</v>
      </c>
      <c r="AD937" t="s">
        <v>107</v>
      </c>
      <c r="AE937" t="s">
        <v>113</v>
      </c>
      <c r="AG937" t="s">
        <v>114</v>
      </c>
    </row>
    <row r="938" spans="1:33" x14ac:dyDescent="0.25">
      <c r="A938" t="str">
        <f>"1326082710"</f>
        <v>1326082710</v>
      </c>
      <c r="B938" t="str">
        <f>"02231872"</f>
        <v>02231872</v>
      </c>
      <c r="C938" t="s">
        <v>3868</v>
      </c>
      <c r="D938" t="s">
        <v>3869</v>
      </c>
      <c r="E938" t="s">
        <v>3870</v>
      </c>
      <c r="G938" t="s">
        <v>308</v>
      </c>
      <c r="H938" t="s">
        <v>309</v>
      </c>
      <c r="J938" t="s">
        <v>310</v>
      </c>
      <c r="L938" t="s">
        <v>106</v>
      </c>
      <c r="M938" t="s">
        <v>107</v>
      </c>
      <c r="R938" t="s">
        <v>3868</v>
      </c>
      <c r="W938" t="s">
        <v>3870</v>
      </c>
      <c r="X938" t="s">
        <v>3359</v>
      </c>
      <c r="Y938" t="s">
        <v>225</v>
      </c>
      <c r="Z938" t="s">
        <v>110</v>
      </c>
      <c r="AA938" t="str">
        <f>"11355-5045"</f>
        <v>11355-5045</v>
      </c>
      <c r="AB938" t="s">
        <v>172</v>
      </c>
      <c r="AC938" t="s">
        <v>112</v>
      </c>
      <c r="AD938" t="s">
        <v>107</v>
      </c>
      <c r="AE938" t="s">
        <v>113</v>
      </c>
      <c r="AG938" t="s">
        <v>114</v>
      </c>
    </row>
    <row r="939" spans="1:33" x14ac:dyDescent="0.25">
      <c r="A939" t="str">
        <f>"1003054644"</f>
        <v>1003054644</v>
      </c>
      <c r="B939" t="str">
        <f>"03148450"</f>
        <v>03148450</v>
      </c>
      <c r="C939" t="s">
        <v>3871</v>
      </c>
      <c r="D939" t="s">
        <v>3872</v>
      </c>
      <c r="E939" t="s">
        <v>3873</v>
      </c>
      <c r="G939" t="s">
        <v>103</v>
      </c>
      <c r="H939" t="s">
        <v>104</v>
      </c>
      <c r="J939" t="s">
        <v>105</v>
      </c>
      <c r="L939" t="s">
        <v>117</v>
      </c>
      <c r="M939" t="s">
        <v>107</v>
      </c>
      <c r="R939" t="s">
        <v>3871</v>
      </c>
      <c r="W939" t="s">
        <v>3873</v>
      </c>
      <c r="X939" t="s">
        <v>3874</v>
      </c>
      <c r="Y939" t="s">
        <v>422</v>
      </c>
      <c r="Z939" t="s">
        <v>110</v>
      </c>
      <c r="AA939" t="str">
        <f>"11432-4837"</f>
        <v>11432-4837</v>
      </c>
      <c r="AB939" t="s">
        <v>111</v>
      </c>
      <c r="AC939" t="s">
        <v>112</v>
      </c>
      <c r="AD939" t="s">
        <v>107</v>
      </c>
      <c r="AE939" t="s">
        <v>113</v>
      </c>
      <c r="AG939" t="s">
        <v>114</v>
      </c>
    </row>
    <row r="940" spans="1:33" x14ac:dyDescent="0.25">
      <c r="A940" t="str">
        <f>"1497786776"</f>
        <v>1497786776</v>
      </c>
      <c r="B940" t="str">
        <f>"03746687"</f>
        <v>03746687</v>
      </c>
      <c r="C940" t="s">
        <v>3875</v>
      </c>
      <c r="D940" t="s">
        <v>3876</v>
      </c>
      <c r="E940" t="s">
        <v>3877</v>
      </c>
      <c r="G940" t="s">
        <v>103</v>
      </c>
      <c r="H940" t="s">
        <v>104</v>
      </c>
      <c r="J940" t="s">
        <v>105</v>
      </c>
      <c r="L940" t="s">
        <v>106</v>
      </c>
      <c r="M940" t="s">
        <v>107</v>
      </c>
      <c r="R940" t="s">
        <v>3875</v>
      </c>
      <c r="W940" t="s">
        <v>3878</v>
      </c>
      <c r="X940" t="s">
        <v>119</v>
      </c>
      <c r="Y940" t="s">
        <v>109</v>
      </c>
      <c r="Z940" t="s">
        <v>110</v>
      </c>
      <c r="AA940" t="str">
        <f>"11374-2259"</f>
        <v>11374-2259</v>
      </c>
      <c r="AB940" t="s">
        <v>111</v>
      </c>
      <c r="AC940" t="s">
        <v>112</v>
      </c>
      <c r="AD940" t="s">
        <v>107</v>
      </c>
      <c r="AE940" t="s">
        <v>113</v>
      </c>
      <c r="AG940" t="s">
        <v>114</v>
      </c>
    </row>
    <row r="941" spans="1:33" x14ac:dyDescent="0.25">
      <c r="A941" t="str">
        <f>"1205909983"</f>
        <v>1205909983</v>
      </c>
      <c r="B941" t="str">
        <f>"02466640"</f>
        <v>02466640</v>
      </c>
      <c r="C941" t="s">
        <v>3879</v>
      </c>
      <c r="D941" t="s">
        <v>3880</v>
      </c>
      <c r="E941" t="s">
        <v>3881</v>
      </c>
      <c r="G941" t="s">
        <v>103</v>
      </c>
      <c r="H941" t="s">
        <v>104</v>
      </c>
      <c r="J941" t="s">
        <v>105</v>
      </c>
      <c r="L941" t="s">
        <v>373</v>
      </c>
      <c r="M941" t="s">
        <v>107</v>
      </c>
      <c r="R941" t="s">
        <v>3882</v>
      </c>
      <c r="W941" t="s">
        <v>3881</v>
      </c>
      <c r="X941" t="s">
        <v>119</v>
      </c>
      <c r="Y941" t="s">
        <v>109</v>
      </c>
      <c r="Z941" t="s">
        <v>110</v>
      </c>
      <c r="AA941" t="str">
        <f>"11374-2259"</f>
        <v>11374-2259</v>
      </c>
      <c r="AB941" t="s">
        <v>111</v>
      </c>
      <c r="AC941" t="s">
        <v>112</v>
      </c>
      <c r="AD941" t="s">
        <v>107</v>
      </c>
      <c r="AE941" t="s">
        <v>113</v>
      </c>
      <c r="AG941" t="s">
        <v>114</v>
      </c>
    </row>
    <row r="942" spans="1:33" x14ac:dyDescent="0.25">
      <c r="A942" t="str">
        <f>"1912164914"</f>
        <v>1912164914</v>
      </c>
      <c r="B942" t="str">
        <f>"03181160"</f>
        <v>03181160</v>
      </c>
      <c r="C942" t="s">
        <v>3883</v>
      </c>
      <c r="D942" t="s">
        <v>3884</v>
      </c>
      <c r="E942" t="s">
        <v>3883</v>
      </c>
      <c r="G942" t="s">
        <v>103</v>
      </c>
      <c r="H942" t="s">
        <v>104</v>
      </c>
      <c r="J942" t="s">
        <v>105</v>
      </c>
      <c r="L942" t="s">
        <v>117</v>
      </c>
      <c r="M942" t="s">
        <v>107</v>
      </c>
      <c r="R942" t="s">
        <v>3883</v>
      </c>
      <c r="W942" t="s">
        <v>3883</v>
      </c>
      <c r="X942" t="s">
        <v>108</v>
      </c>
      <c r="Y942" t="s">
        <v>109</v>
      </c>
      <c r="Z942" t="s">
        <v>110</v>
      </c>
      <c r="AA942" t="str">
        <f>"11374-2240"</f>
        <v>11374-2240</v>
      </c>
      <c r="AB942" t="s">
        <v>111</v>
      </c>
      <c r="AC942" t="s">
        <v>112</v>
      </c>
      <c r="AD942" t="s">
        <v>107</v>
      </c>
      <c r="AE942" t="s">
        <v>113</v>
      </c>
      <c r="AG942" t="s">
        <v>114</v>
      </c>
    </row>
    <row r="943" spans="1:33" x14ac:dyDescent="0.25">
      <c r="A943" t="str">
        <f>"1770768145"</f>
        <v>1770768145</v>
      </c>
      <c r="B943" t="str">
        <f>"01465356"</f>
        <v>01465356</v>
      </c>
      <c r="C943" t="s">
        <v>3885</v>
      </c>
      <c r="D943" t="s">
        <v>3886</v>
      </c>
      <c r="E943" t="s">
        <v>3885</v>
      </c>
      <c r="G943" t="s">
        <v>103</v>
      </c>
      <c r="H943" t="s">
        <v>104</v>
      </c>
      <c r="J943" t="s">
        <v>105</v>
      </c>
      <c r="L943" t="s">
        <v>106</v>
      </c>
      <c r="M943" t="s">
        <v>107</v>
      </c>
      <c r="R943" t="s">
        <v>3885</v>
      </c>
      <c r="W943" t="s">
        <v>3885</v>
      </c>
      <c r="X943" t="s">
        <v>154</v>
      </c>
      <c r="Y943" t="s">
        <v>109</v>
      </c>
      <c r="Z943" t="s">
        <v>110</v>
      </c>
      <c r="AA943" t="str">
        <f>"11374-2259"</f>
        <v>11374-2259</v>
      </c>
      <c r="AB943" t="s">
        <v>111</v>
      </c>
      <c r="AC943" t="s">
        <v>112</v>
      </c>
      <c r="AD943" t="s">
        <v>107</v>
      </c>
      <c r="AE943" t="s">
        <v>113</v>
      </c>
      <c r="AG943" t="s">
        <v>114</v>
      </c>
    </row>
    <row r="944" spans="1:33" x14ac:dyDescent="0.25">
      <c r="A944" t="str">
        <f>"1174694996"</f>
        <v>1174694996</v>
      </c>
      <c r="B944" t="str">
        <f>"02765906"</f>
        <v>02765906</v>
      </c>
      <c r="C944" t="s">
        <v>3887</v>
      </c>
      <c r="D944" t="s">
        <v>3888</v>
      </c>
      <c r="E944" t="s">
        <v>3887</v>
      </c>
      <c r="G944" t="s">
        <v>103</v>
      </c>
      <c r="H944" t="s">
        <v>104</v>
      </c>
      <c r="J944" t="s">
        <v>105</v>
      </c>
      <c r="L944" t="s">
        <v>106</v>
      </c>
      <c r="M944" t="s">
        <v>107</v>
      </c>
      <c r="R944" t="s">
        <v>3887</v>
      </c>
      <c r="W944" t="s">
        <v>3889</v>
      </c>
      <c r="X944" t="s">
        <v>119</v>
      </c>
      <c r="Y944" t="s">
        <v>109</v>
      </c>
      <c r="Z944" t="s">
        <v>110</v>
      </c>
      <c r="AA944" t="str">
        <f>"11374-2259"</f>
        <v>11374-2259</v>
      </c>
      <c r="AB944" t="s">
        <v>111</v>
      </c>
      <c r="AC944" t="s">
        <v>112</v>
      </c>
      <c r="AD944" t="s">
        <v>107</v>
      </c>
      <c r="AE944" t="s">
        <v>113</v>
      </c>
      <c r="AG944" t="s">
        <v>114</v>
      </c>
    </row>
    <row r="945" spans="1:33" x14ac:dyDescent="0.25">
      <c r="A945" t="str">
        <f>"1609016948"</f>
        <v>1609016948</v>
      </c>
      <c r="B945" t="str">
        <f>"03098184"</f>
        <v>03098184</v>
      </c>
      <c r="C945" t="s">
        <v>3890</v>
      </c>
      <c r="D945" t="s">
        <v>3891</v>
      </c>
      <c r="E945" t="s">
        <v>3892</v>
      </c>
      <c r="G945" t="s">
        <v>103</v>
      </c>
      <c r="H945" t="s">
        <v>104</v>
      </c>
      <c r="J945" t="s">
        <v>105</v>
      </c>
      <c r="L945" t="s">
        <v>106</v>
      </c>
      <c r="M945" t="s">
        <v>107</v>
      </c>
      <c r="R945" t="s">
        <v>3890</v>
      </c>
      <c r="W945" t="s">
        <v>3892</v>
      </c>
      <c r="X945" t="s">
        <v>108</v>
      </c>
      <c r="Y945" t="s">
        <v>109</v>
      </c>
      <c r="Z945" t="s">
        <v>110</v>
      </c>
      <c r="AA945" t="str">
        <f>"11374-2240"</f>
        <v>11374-2240</v>
      </c>
      <c r="AB945" t="s">
        <v>111</v>
      </c>
      <c r="AC945" t="s">
        <v>112</v>
      </c>
      <c r="AD945" t="s">
        <v>107</v>
      </c>
      <c r="AE945" t="s">
        <v>113</v>
      </c>
      <c r="AG945" t="s">
        <v>114</v>
      </c>
    </row>
    <row r="946" spans="1:33" x14ac:dyDescent="0.25">
      <c r="A946" t="str">
        <f>"1801917729"</f>
        <v>1801917729</v>
      </c>
      <c r="B946" t="str">
        <f>"03568738"</f>
        <v>03568738</v>
      </c>
      <c r="C946" t="s">
        <v>3893</v>
      </c>
      <c r="D946" t="s">
        <v>3894</v>
      </c>
      <c r="E946" t="s">
        <v>3895</v>
      </c>
      <c r="G946" t="s">
        <v>103</v>
      </c>
      <c r="H946" t="s">
        <v>104</v>
      </c>
      <c r="J946" t="s">
        <v>105</v>
      </c>
      <c r="L946" t="s">
        <v>106</v>
      </c>
      <c r="M946" t="s">
        <v>107</v>
      </c>
      <c r="R946" t="s">
        <v>3893</v>
      </c>
      <c r="W946" t="s">
        <v>3895</v>
      </c>
      <c r="X946" t="s">
        <v>108</v>
      </c>
      <c r="Y946" t="s">
        <v>109</v>
      </c>
      <c r="Z946" t="s">
        <v>110</v>
      </c>
      <c r="AA946" t="str">
        <f>"11374-2259"</f>
        <v>11374-2259</v>
      </c>
      <c r="AB946" t="s">
        <v>111</v>
      </c>
      <c r="AC946" t="s">
        <v>112</v>
      </c>
      <c r="AD946" t="s">
        <v>107</v>
      </c>
      <c r="AE946" t="s">
        <v>113</v>
      </c>
      <c r="AG946" t="s">
        <v>114</v>
      </c>
    </row>
    <row r="947" spans="1:33" x14ac:dyDescent="0.25">
      <c r="A947" t="str">
        <f>"1235497843"</f>
        <v>1235497843</v>
      </c>
      <c r="B947" t="str">
        <f>"03854491"</f>
        <v>03854491</v>
      </c>
      <c r="C947" t="s">
        <v>3896</v>
      </c>
      <c r="D947" t="s">
        <v>3897</v>
      </c>
      <c r="E947" t="s">
        <v>3898</v>
      </c>
      <c r="G947" t="s">
        <v>103</v>
      </c>
      <c r="H947" t="s">
        <v>104</v>
      </c>
      <c r="J947" t="s">
        <v>105</v>
      </c>
      <c r="L947" t="s">
        <v>106</v>
      </c>
      <c r="M947" t="s">
        <v>107</v>
      </c>
      <c r="R947" t="s">
        <v>3896</v>
      </c>
      <c r="W947" t="s">
        <v>3898</v>
      </c>
      <c r="X947" t="s">
        <v>119</v>
      </c>
      <c r="Y947" t="s">
        <v>109</v>
      </c>
      <c r="Z947" t="s">
        <v>110</v>
      </c>
      <c r="AA947" t="str">
        <f>"11374-2259"</f>
        <v>11374-2259</v>
      </c>
      <c r="AB947" t="s">
        <v>111</v>
      </c>
      <c r="AC947" t="s">
        <v>112</v>
      </c>
      <c r="AD947" t="s">
        <v>107</v>
      </c>
      <c r="AE947" t="s">
        <v>113</v>
      </c>
      <c r="AG947" t="s">
        <v>114</v>
      </c>
    </row>
    <row r="948" spans="1:33" x14ac:dyDescent="0.25">
      <c r="A948" t="str">
        <f>"1710149679"</f>
        <v>1710149679</v>
      </c>
      <c r="B948" t="str">
        <f>"03020413"</f>
        <v>03020413</v>
      </c>
      <c r="C948" t="s">
        <v>3899</v>
      </c>
      <c r="D948" t="s">
        <v>3900</v>
      </c>
      <c r="E948" t="s">
        <v>3899</v>
      </c>
      <c r="G948" t="s">
        <v>103</v>
      </c>
      <c r="H948" t="s">
        <v>104</v>
      </c>
      <c r="J948" t="s">
        <v>105</v>
      </c>
      <c r="L948" t="s">
        <v>106</v>
      </c>
      <c r="M948" t="s">
        <v>107</v>
      </c>
      <c r="R948" t="s">
        <v>3899</v>
      </c>
      <c r="W948" t="s">
        <v>3901</v>
      </c>
      <c r="X948" t="s">
        <v>119</v>
      </c>
      <c r="Y948" t="s">
        <v>109</v>
      </c>
      <c r="Z948" t="s">
        <v>110</v>
      </c>
      <c r="AA948" t="str">
        <f>"11374-2259"</f>
        <v>11374-2259</v>
      </c>
      <c r="AB948" t="s">
        <v>111</v>
      </c>
      <c r="AC948" t="s">
        <v>112</v>
      </c>
      <c r="AD948" t="s">
        <v>107</v>
      </c>
      <c r="AE948" t="s">
        <v>113</v>
      </c>
      <c r="AG948" t="s">
        <v>114</v>
      </c>
    </row>
    <row r="949" spans="1:33" x14ac:dyDescent="0.25">
      <c r="A949" t="str">
        <f>"1891930814"</f>
        <v>1891930814</v>
      </c>
      <c r="B949" t="str">
        <f>"02468133"</f>
        <v>02468133</v>
      </c>
      <c r="C949" t="s">
        <v>3902</v>
      </c>
      <c r="D949" t="s">
        <v>3903</v>
      </c>
      <c r="E949" t="s">
        <v>3902</v>
      </c>
      <c r="G949" t="s">
        <v>103</v>
      </c>
      <c r="H949" t="s">
        <v>104</v>
      </c>
      <c r="J949" t="s">
        <v>105</v>
      </c>
      <c r="L949" t="s">
        <v>106</v>
      </c>
      <c r="M949" t="s">
        <v>107</v>
      </c>
      <c r="R949" t="s">
        <v>3902</v>
      </c>
      <c r="W949" t="s">
        <v>3902</v>
      </c>
      <c r="X949" t="s">
        <v>3902</v>
      </c>
      <c r="Y949" t="s">
        <v>109</v>
      </c>
      <c r="Z949" t="s">
        <v>110</v>
      </c>
      <c r="AA949" t="str">
        <f>"11374-2240"</f>
        <v>11374-2240</v>
      </c>
      <c r="AB949" t="s">
        <v>111</v>
      </c>
      <c r="AC949" t="s">
        <v>112</v>
      </c>
      <c r="AD949" t="s">
        <v>107</v>
      </c>
      <c r="AE949" t="s">
        <v>113</v>
      </c>
      <c r="AG949" t="s">
        <v>114</v>
      </c>
    </row>
    <row r="950" spans="1:33" x14ac:dyDescent="0.25">
      <c r="A950" t="str">
        <f>"1396059127"</f>
        <v>1396059127</v>
      </c>
      <c r="B950" t="str">
        <f>"03329706"</f>
        <v>03329706</v>
      </c>
      <c r="C950" t="s">
        <v>3904</v>
      </c>
      <c r="D950" t="s">
        <v>3905</v>
      </c>
      <c r="E950" t="s">
        <v>3904</v>
      </c>
      <c r="G950" t="s">
        <v>103</v>
      </c>
      <c r="H950" t="s">
        <v>104</v>
      </c>
      <c r="J950" t="s">
        <v>105</v>
      </c>
      <c r="L950" t="s">
        <v>117</v>
      </c>
      <c r="M950" t="s">
        <v>107</v>
      </c>
      <c r="R950" t="s">
        <v>3904</v>
      </c>
      <c r="W950" t="s">
        <v>3904</v>
      </c>
      <c r="X950" t="s">
        <v>119</v>
      </c>
      <c r="Y950" t="s">
        <v>109</v>
      </c>
      <c r="Z950" t="s">
        <v>110</v>
      </c>
      <c r="AA950" t="str">
        <f>"11374-2259"</f>
        <v>11374-2259</v>
      </c>
      <c r="AB950" t="s">
        <v>111</v>
      </c>
      <c r="AC950" t="s">
        <v>112</v>
      </c>
      <c r="AD950" t="s">
        <v>107</v>
      </c>
      <c r="AE950" t="s">
        <v>113</v>
      </c>
      <c r="AG950" t="s">
        <v>114</v>
      </c>
    </row>
    <row r="951" spans="1:33" x14ac:dyDescent="0.25">
      <c r="A951" t="str">
        <f>"1720390545"</f>
        <v>1720390545</v>
      </c>
      <c r="B951" t="str">
        <f>"03371900"</f>
        <v>03371900</v>
      </c>
      <c r="C951" t="s">
        <v>3906</v>
      </c>
      <c r="D951" t="s">
        <v>3907</v>
      </c>
      <c r="E951" t="s">
        <v>3908</v>
      </c>
      <c r="G951" t="s">
        <v>103</v>
      </c>
      <c r="H951" t="s">
        <v>104</v>
      </c>
      <c r="J951" t="s">
        <v>105</v>
      </c>
      <c r="L951" t="s">
        <v>117</v>
      </c>
      <c r="M951" t="s">
        <v>107</v>
      </c>
      <c r="R951" t="s">
        <v>3906</v>
      </c>
      <c r="W951" t="s">
        <v>3908</v>
      </c>
      <c r="X951" t="s">
        <v>1434</v>
      </c>
      <c r="Y951" t="s">
        <v>240</v>
      </c>
      <c r="Z951" t="s">
        <v>110</v>
      </c>
      <c r="AA951" t="str">
        <f>"11206-5317"</f>
        <v>11206-5317</v>
      </c>
      <c r="AB951" t="s">
        <v>111</v>
      </c>
      <c r="AC951" t="s">
        <v>112</v>
      </c>
      <c r="AD951" t="s">
        <v>107</v>
      </c>
      <c r="AE951" t="s">
        <v>113</v>
      </c>
      <c r="AG951" t="s">
        <v>114</v>
      </c>
    </row>
    <row r="952" spans="1:33" x14ac:dyDescent="0.25">
      <c r="A952" t="str">
        <f>"1720228604"</f>
        <v>1720228604</v>
      </c>
      <c r="B952" t="str">
        <f>"03147404"</f>
        <v>03147404</v>
      </c>
      <c r="C952" t="s">
        <v>3909</v>
      </c>
      <c r="D952" t="s">
        <v>3910</v>
      </c>
      <c r="E952" t="s">
        <v>3911</v>
      </c>
      <c r="G952" t="s">
        <v>103</v>
      </c>
      <c r="H952" t="s">
        <v>104</v>
      </c>
      <c r="J952" t="s">
        <v>105</v>
      </c>
      <c r="L952" t="s">
        <v>106</v>
      </c>
      <c r="M952" t="s">
        <v>107</v>
      </c>
      <c r="R952" t="s">
        <v>3909</v>
      </c>
      <c r="W952" t="s">
        <v>3912</v>
      </c>
      <c r="X952" t="s">
        <v>3913</v>
      </c>
      <c r="Y952" t="s">
        <v>399</v>
      </c>
      <c r="Z952" t="s">
        <v>110</v>
      </c>
      <c r="AA952" t="str">
        <f>"11040-1418"</f>
        <v>11040-1418</v>
      </c>
      <c r="AB952" t="s">
        <v>111</v>
      </c>
      <c r="AC952" t="s">
        <v>112</v>
      </c>
      <c r="AD952" t="s">
        <v>107</v>
      </c>
      <c r="AE952" t="s">
        <v>113</v>
      </c>
      <c r="AG952" t="s">
        <v>114</v>
      </c>
    </row>
    <row r="953" spans="1:33" x14ac:dyDescent="0.25">
      <c r="A953" t="str">
        <f>"1740351576"</f>
        <v>1740351576</v>
      </c>
      <c r="B953" t="str">
        <f>"03285843"</f>
        <v>03285843</v>
      </c>
      <c r="C953" t="s">
        <v>3914</v>
      </c>
      <c r="D953" t="s">
        <v>3915</v>
      </c>
      <c r="E953" t="s">
        <v>3914</v>
      </c>
      <c r="G953" t="s">
        <v>103</v>
      </c>
      <c r="H953" t="s">
        <v>104</v>
      </c>
      <c r="J953" t="s">
        <v>105</v>
      </c>
      <c r="L953" t="s">
        <v>106</v>
      </c>
      <c r="M953" t="s">
        <v>107</v>
      </c>
      <c r="R953" t="s">
        <v>3914</v>
      </c>
      <c r="W953" t="s">
        <v>3916</v>
      </c>
      <c r="X953" t="s">
        <v>119</v>
      </c>
      <c r="Y953" t="s">
        <v>109</v>
      </c>
      <c r="Z953" t="s">
        <v>110</v>
      </c>
      <c r="AA953" t="str">
        <f>"11374-2259"</f>
        <v>11374-2259</v>
      </c>
      <c r="AB953" t="s">
        <v>111</v>
      </c>
      <c r="AC953" t="s">
        <v>112</v>
      </c>
      <c r="AD953" t="s">
        <v>107</v>
      </c>
      <c r="AE953" t="s">
        <v>113</v>
      </c>
      <c r="AG953" t="s">
        <v>114</v>
      </c>
    </row>
    <row r="954" spans="1:33" x14ac:dyDescent="0.25">
      <c r="A954" t="str">
        <f>"1851477400"</f>
        <v>1851477400</v>
      </c>
      <c r="B954" t="str">
        <f>"02468784"</f>
        <v>02468784</v>
      </c>
      <c r="C954" t="s">
        <v>3917</v>
      </c>
      <c r="D954" t="s">
        <v>3918</v>
      </c>
      <c r="E954" t="s">
        <v>3919</v>
      </c>
      <c r="G954" t="s">
        <v>103</v>
      </c>
      <c r="H954" t="s">
        <v>104</v>
      </c>
      <c r="J954" t="s">
        <v>105</v>
      </c>
      <c r="L954" t="s">
        <v>117</v>
      </c>
      <c r="M954" t="s">
        <v>107</v>
      </c>
      <c r="R954" t="s">
        <v>3917</v>
      </c>
      <c r="W954" t="s">
        <v>3919</v>
      </c>
      <c r="X954" t="s">
        <v>108</v>
      </c>
      <c r="Y954" t="s">
        <v>109</v>
      </c>
      <c r="Z954" t="s">
        <v>110</v>
      </c>
      <c r="AA954" t="str">
        <f>"11374-2259"</f>
        <v>11374-2259</v>
      </c>
      <c r="AB954" t="s">
        <v>111</v>
      </c>
      <c r="AC954" t="s">
        <v>112</v>
      </c>
      <c r="AD954" t="s">
        <v>107</v>
      </c>
      <c r="AE954" t="s">
        <v>113</v>
      </c>
      <c r="AG954" t="s">
        <v>114</v>
      </c>
    </row>
    <row r="955" spans="1:33" x14ac:dyDescent="0.25">
      <c r="A955" t="str">
        <f>"1255417903"</f>
        <v>1255417903</v>
      </c>
      <c r="B955" t="str">
        <f>"02468757"</f>
        <v>02468757</v>
      </c>
      <c r="C955" t="s">
        <v>3920</v>
      </c>
      <c r="D955" t="s">
        <v>3921</v>
      </c>
      <c r="E955" t="s">
        <v>3920</v>
      </c>
      <c r="G955" t="s">
        <v>103</v>
      </c>
      <c r="H955" t="s">
        <v>104</v>
      </c>
      <c r="J955" t="s">
        <v>105</v>
      </c>
      <c r="L955" t="s">
        <v>106</v>
      </c>
      <c r="M955" t="s">
        <v>107</v>
      </c>
      <c r="R955" t="s">
        <v>3920</v>
      </c>
      <c r="W955" t="s">
        <v>3920</v>
      </c>
      <c r="X955" t="s">
        <v>119</v>
      </c>
      <c r="Y955" t="s">
        <v>109</v>
      </c>
      <c r="Z955" t="s">
        <v>110</v>
      </c>
      <c r="AA955" t="str">
        <f>"11374-2259"</f>
        <v>11374-2259</v>
      </c>
      <c r="AB955" t="s">
        <v>111</v>
      </c>
      <c r="AC955" t="s">
        <v>112</v>
      </c>
      <c r="AD955" t="s">
        <v>107</v>
      </c>
      <c r="AE955" t="s">
        <v>113</v>
      </c>
      <c r="AG955" t="s">
        <v>114</v>
      </c>
    </row>
    <row r="956" spans="1:33" x14ac:dyDescent="0.25">
      <c r="A956" t="str">
        <f>"1275609190"</f>
        <v>1275609190</v>
      </c>
      <c r="B956" t="str">
        <f>"01865296"</f>
        <v>01865296</v>
      </c>
      <c r="C956" t="s">
        <v>3922</v>
      </c>
      <c r="D956" t="s">
        <v>3923</v>
      </c>
      <c r="E956" t="s">
        <v>3924</v>
      </c>
      <c r="G956" t="s">
        <v>2419</v>
      </c>
      <c r="H956" t="s">
        <v>2420</v>
      </c>
      <c r="J956" t="s">
        <v>2421</v>
      </c>
      <c r="L956" t="s">
        <v>20</v>
      </c>
      <c r="M956" t="s">
        <v>107</v>
      </c>
      <c r="R956" t="s">
        <v>3925</v>
      </c>
      <c r="W956" t="s">
        <v>3924</v>
      </c>
      <c r="X956" t="s">
        <v>1118</v>
      </c>
      <c r="Y956" t="s">
        <v>399</v>
      </c>
      <c r="Z956" t="s">
        <v>110</v>
      </c>
      <c r="AA956" t="str">
        <f>"11040-1433"</f>
        <v>11040-1433</v>
      </c>
      <c r="AB956" t="s">
        <v>191</v>
      </c>
      <c r="AC956" t="s">
        <v>112</v>
      </c>
      <c r="AD956" t="s">
        <v>107</v>
      </c>
      <c r="AE956" t="s">
        <v>113</v>
      </c>
      <c r="AG956" t="s">
        <v>114</v>
      </c>
    </row>
    <row r="957" spans="1:33" x14ac:dyDescent="0.25">
      <c r="A957" t="str">
        <f>"1891010286"</f>
        <v>1891010286</v>
      </c>
      <c r="B957" t="str">
        <f>"03776712"</f>
        <v>03776712</v>
      </c>
      <c r="C957" t="s">
        <v>3926</v>
      </c>
      <c r="D957" t="s">
        <v>3927</v>
      </c>
      <c r="E957" t="s">
        <v>3928</v>
      </c>
      <c r="G957" t="s">
        <v>412</v>
      </c>
      <c r="H957" t="s">
        <v>413</v>
      </c>
      <c r="J957" t="s">
        <v>414</v>
      </c>
      <c r="L957" t="s">
        <v>166</v>
      </c>
      <c r="M957" t="s">
        <v>167</v>
      </c>
      <c r="R957" t="s">
        <v>3926</v>
      </c>
      <c r="W957" t="s">
        <v>3928</v>
      </c>
      <c r="X957" t="s">
        <v>3929</v>
      </c>
      <c r="Y957" t="s">
        <v>325</v>
      </c>
      <c r="Z957" t="s">
        <v>110</v>
      </c>
      <c r="AA957" t="str">
        <f>"10013-4615"</f>
        <v>10013-4615</v>
      </c>
      <c r="AB957" t="s">
        <v>172</v>
      </c>
      <c r="AC957" t="s">
        <v>112</v>
      </c>
      <c r="AD957" t="s">
        <v>107</v>
      </c>
      <c r="AE957" t="s">
        <v>113</v>
      </c>
      <c r="AG957" t="s">
        <v>114</v>
      </c>
    </row>
    <row r="958" spans="1:33" x14ac:dyDescent="0.25">
      <c r="A958" t="str">
        <f>"1417997347"</f>
        <v>1417997347</v>
      </c>
      <c r="B958" t="str">
        <f>"01608759"</f>
        <v>01608759</v>
      </c>
      <c r="C958" t="s">
        <v>3930</v>
      </c>
      <c r="D958" t="s">
        <v>3931</v>
      </c>
      <c r="E958" t="s">
        <v>3932</v>
      </c>
      <c r="G958" t="s">
        <v>289</v>
      </c>
      <c r="H958" t="s">
        <v>290</v>
      </c>
      <c r="J958" t="s">
        <v>291</v>
      </c>
      <c r="L958" t="s">
        <v>117</v>
      </c>
      <c r="M958" t="s">
        <v>107</v>
      </c>
      <c r="R958" t="s">
        <v>3930</v>
      </c>
      <c r="W958" t="s">
        <v>3932</v>
      </c>
      <c r="X958" t="s">
        <v>3933</v>
      </c>
      <c r="Y958" t="s">
        <v>240</v>
      </c>
      <c r="Z958" t="s">
        <v>110</v>
      </c>
      <c r="AA958" t="str">
        <f>"11215-4103"</f>
        <v>11215-4103</v>
      </c>
      <c r="AB958" t="s">
        <v>172</v>
      </c>
      <c r="AC958" t="s">
        <v>112</v>
      </c>
      <c r="AD958" t="s">
        <v>107</v>
      </c>
      <c r="AE958" t="s">
        <v>113</v>
      </c>
      <c r="AG958" t="s">
        <v>114</v>
      </c>
    </row>
    <row r="959" spans="1:33" x14ac:dyDescent="0.25">
      <c r="A959" t="str">
        <f>"1366580367"</f>
        <v>1366580367</v>
      </c>
      <c r="B959" t="str">
        <f>"03057063"</f>
        <v>03057063</v>
      </c>
      <c r="C959" t="s">
        <v>3934</v>
      </c>
      <c r="D959" t="s">
        <v>3935</v>
      </c>
      <c r="E959" t="s">
        <v>3936</v>
      </c>
      <c r="G959" t="s">
        <v>289</v>
      </c>
      <c r="H959" t="s">
        <v>290</v>
      </c>
      <c r="J959" t="s">
        <v>291</v>
      </c>
      <c r="L959" t="s">
        <v>106</v>
      </c>
      <c r="M959" t="s">
        <v>107</v>
      </c>
      <c r="R959" t="s">
        <v>3934</v>
      </c>
      <c r="W959" t="s">
        <v>3937</v>
      </c>
      <c r="X959" t="s">
        <v>3938</v>
      </c>
      <c r="Y959" t="s">
        <v>647</v>
      </c>
      <c r="Z959" t="s">
        <v>110</v>
      </c>
      <c r="AA959" t="str">
        <f>"11366-1319"</f>
        <v>11366-1319</v>
      </c>
      <c r="AB959" t="s">
        <v>172</v>
      </c>
      <c r="AC959" t="s">
        <v>112</v>
      </c>
      <c r="AD959" t="s">
        <v>107</v>
      </c>
      <c r="AE959" t="s">
        <v>113</v>
      </c>
      <c r="AG959" t="s">
        <v>114</v>
      </c>
    </row>
    <row r="960" spans="1:33" x14ac:dyDescent="0.25">
      <c r="A960" t="str">
        <f>"1942369939"</f>
        <v>1942369939</v>
      </c>
      <c r="B960" t="str">
        <f>"00720769"</f>
        <v>00720769</v>
      </c>
      <c r="C960" t="s">
        <v>3939</v>
      </c>
      <c r="D960" t="s">
        <v>3940</v>
      </c>
      <c r="E960" t="s">
        <v>3941</v>
      </c>
      <c r="G960" t="s">
        <v>289</v>
      </c>
      <c r="H960" t="s">
        <v>290</v>
      </c>
      <c r="J960" t="s">
        <v>291</v>
      </c>
      <c r="L960" t="s">
        <v>106</v>
      </c>
      <c r="M960" t="s">
        <v>107</v>
      </c>
      <c r="R960" t="s">
        <v>3939</v>
      </c>
      <c r="W960" t="s">
        <v>3941</v>
      </c>
      <c r="X960" t="s">
        <v>3942</v>
      </c>
      <c r="Y960" t="s">
        <v>481</v>
      </c>
      <c r="Z960" t="s">
        <v>110</v>
      </c>
      <c r="AA960" t="str">
        <f>"11427-2195"</f>
        <v>11427-2195</v>
      </c>
      <c r="AB960" t="s">
        <v>172</v>
      </c>
      <c r="AC960" t="s">
        <v>112</v>
      </c>
      <c r="AD960" t="s">
        <v>107</v>
      </c>
      <c r="AE960" t="s">
        <v>113</v>
      </c>
      <c r="AG960" t="s">
        <v>114</v>
      </c>
    </row>
    <row r="961" spans="1:33" x14ac:dyDescent="0.25">
      <c r="A961" t="str">
        <f>"1700049434"</f>
        <v>1700049434</v>
      </c>
      <c r="B961" t="str">
        <f>"01043030"</f>
        <v>01043030</v>
      </c>
      <c r="C961" t="s">
        <v>3943</v>
      </c>
      <c r="D961" t="s">
        <v>3944</v>
      </c>
      <c r="E961" t="s">
        <v>3945</v>
      </c>
      <c r="G961" t="s">
        <v>289</v>
      </c>
      <c r="H961" t="s">
        <v>290</v>
      </c>
      <c r="J961" t="s">
        <v>291</v>
      </c>
      <c r="L961" t="s">
        <v>106</v>
      </c>
      <c r="M961" t="s">
        <v>107</v>
      </c>
      <c r="R961" t="s">
        <v>3943</v>
      </c>
      <c r="W961" t="s">
        <v>3945</v>
      </c>
      <c r="X961" t="s">
        <v>3946</v>
      </c>
      <c r="Y961" t="s">
        <v>481</v>
      </c>
      <c r="Z961" t="s">
        <v>110</v>
      </c>
      <c r="AA961" t="str">
        <f>"11427-2128"</f>
        <v>11427-2128</v>
      </c>
      <c r="AB961" t="s">
        <v>172</v>
      </c>
      <c r="AC961" t="s">
        <v>112</v>
      </c>
      <c r="AD961" t="s">
        <v>107</v>
      </c>
      <c r="AE961" t="s">
        <v>113</v>
      </c>
      <c r="AG961" t="s">
        <v>114</v>
      </c>
    </row>
    <row r="962" spans="1:33" x14ac:dyDescent="0.25">
      <c r="A962" t="str">
        <f>"1750474805"</f>
        <v>1750474805</v>
      </c>
      <c r="B962" t="str">
        <f>"02832126"</f>
        <v>02832126</v>
      </c>
      <c r="C962" t="s">
        <v>3947</v>
      </c>
      <c r="D962" t="s">
        <v>3948</v>
      </c>
      <c r="E962" t="s">
        <v>3949</v>
      </c>
      <c r="G962" t="s">
        <v>289</v>
      </c>
      <c r="H962" t="s">
        <v>290</v>
      </c>
      <c r="J962" t="s">
        <v>291</v>
      </c>
      <c r="L962" t="s">
        <v>117</v>
      </c>
      <c r="M962" t="s">
        <v>167</v>
      </c>
      <c r="R962" t="s">
        <v>3947</v>
      </c>
      <c r="W962" t="s">
        <v>3949</v>
      </c>
      <c r="X962" t="s">
        <v>3950</v>
      </c>
      <c r="Y962" t="s">
        <v>422</v>
      </c>
      <c r="Z962" t="s">
        <v>110</v>
      </c>
      <c r="AA962" t="str">
        <f>"11418"</f>
        <v>11418</v>
      </c>
      <c r="AB962" t="s">
        <v>172</v>
      </c>
      <c r="AC962" t="s">
        <v>112</v>
      </c>
      <c r="AD962" t="s">
        <v>107</v>
      </c>
      <c r="AE962" t="s">
        <v>113</v>
      </c>
      <c r="AG962" t="s">
        <v>114</v>
      </c>
    </row>
    <row r="963" spans="1:33" x14ac:dyDescent="0.25">
      <c r="A963" t="str">
        <f>"1861595308"</f>
        <v>1861595308</v>
      </c>
      <c r="B963" t="str">
        <f>"00929020"</f>
        <v>00929020</v>
      </c>
      <c r="C963" t="s">
        <v>3951</v>
      </c>
      <c r="D963" t="s">
        <v>3952</v>
      </c>
      <c r="E963" t="s">
        <v>3953</v>
      </c>
      <c r="G963" t="s">
        <v>289</v>
      </c>
      <c r="H963" t="s">
        <v>290</v>
      </c>
      <c r="J963" t="s">
        <v>291</v>
      </c>
      <c r="L963" t="s">
        <v>117</v>
      </c>
      <c r="M963" t="s">
        <v>107</v>
      </c>
      <c r="R963" t="s">
        <v>3951</v>
      </c>
      <c r="W963" t="s">
        <v>3953</v>
      </c>
      <c r="X963" t="s">
        <v>3954</v>
      </c>
      <c r="Y963" t="s">
        <v>982</v>
      </c>
      <c r="Z963" t="s">
        <v>110</v>
      </c>
      <c r="AA963" t="str">
        <f>"11423-2982"</f>
        <v>11423-2982</v>
      </c>
      <c r="AB963" t="s">
        <v>172</v>
      </c>
      <c r="AC963" t="s">
        <v>112</v>
      </c>
      <c r="AD963" t="s">
        <v>107</v>
      </c>
      <c r="AE963" t="s">
        <v>113</v>
      </c>
      <c r="AG963" t="s">
        <v>114</v>
      </c>
    </row>
    <row r="964" spans="1:33" x14ac:dyDescent="0.25">
      <c r="A964" t="str">
        <f>"1154400406"</f>
        <v>1154400406</v>
      </c>
      <c r="B964" t="str">
        <f>"02746418"</f>
        <v>02746418</v>
      </c>
      <c r="C964" t="s">
        <v>3955</v>
      </c>
      <c r="D964" t="s">
        <v>3956</v>
      </c>
      <c r="E964" t="s">
        <v>3957</v>
      </c>
      <c r="G964" t="s">
        <v>289</v>
      </c>
      <c r="H964" t="s">
        <v>290</v>
      </c>
      <c r="J964" t="s">
        <v>291</v>
      </c>
      <c r="L964" t="s">
        <v>106</v>
      </c>
      <c r="M964" t="s">
        <v>107</v>
      </c>
      <c r="R964" t="s">
        <v>3955</v>
      </c>
      <c r="W964" t="s">
        <v>3958</v>
      </c>
      <c r="X964" t="s">
        <v>1403</v>
      </c>
      <c r="Y964" t="s">
        <v>422</v>
      </c>
      <c r="Z964" t="s">
        <v>110</v>
      </c>
      <c r="AA964" t="str">
        <f>"11432-1121"</f>
        <v>11432-1121</v>
      </c>
      <c r="AB964" t="s">
        <v>172</v>
      </c>
      <c r="AC964" t="s">
        <v>112</v>
      </c>
      <c r="AD964" t="s">
        <v>107</v>
      </c>
      <c r="AE964" t="s">
        <v>113</v>
      </c>
      <c r="AG964" t="s">
        <v>114</v>
      </c>
    </row>
    <row r="965" spans="1:33" x14ac:dyDescent="0.25">
      <c r="A965" t="str">
        <f>"1144211202"</f>
        <v>1144211202</v>
      </c>
      <c r="B965" t="str">
        <f>"02753313"</f>
        <v>02753313</v>
      </c>
      <c r="C965" t="s">
        <v>3959</v>
      </c>
      <c r="D965" t="s">
        <v>3960</v>
      </c>
      <c r="E965" t="s">
        <v>3961</v>
      </c>
      <c r="G965" t="s">
        <v>402</v>
      </c>
      <c r="H965" t="s">
        <v>403</v>
      </c>
      <c r="J965" t="s">
        <v>404</v>
      </c>
      <c r="L965" t="s">
        <v>215</v>
      </c>
      <c r="M965" t="s">
        <v>107</v>
      </c>
      <c r="R965" t="s">
        <v>3959</v>
      </c>
      <c r="W965" t="s">
        <v>3961</v>
      </c>
      <c r="X965" t="s">
        <v>3962</v>
      </c>
      <c r="Y965" t="s">
        <v>3963</v>
      </c>
      <c r="Z965" t="s">
        <v>110</v>
      </c>
      <c r="AA965" t="str">
        <f>"11787-3235"</f>
        <v>11787-3235</v>
      </c>
      <c r="AB965" t="s">
        <v>172</v>
      </c>
      <c r="AC965" t="s">
        <v>112</v>
      </c>
      <c r="AD965" t="s">
        <v>107</v>
      </c>
      <c r="AE965" t="s">
        <v>113</v>
      </c>
      <c r="AG965" t="s">
        <v>114</v>
      </c>
    </row>
    <row r="966" spans="1:33" x14ac:dyDescent="0.25">
      <c r="A966" t="str">
        <f>"1013001197"</f>
        <v>1013001197</v>
      </c>
      <c r="B966" t="str">
        <f>"01792052"</f>
        <v>01792052</v>
      </c>
      <c r="C966" t="s">
        <v>3964</v>
      </c>
      <c r="D966" t="s">
        <v>3965</v>
      </c>
      <c r="E966" t="s">
        <v>3966</v>
      </c>
      <c r="G966" t="s">
        <v>3967</v>
      </c>
      <c r="H966" t="s">
        <v>1794</v>
      </c>
      <c r="J966" t="s">
        <v>1795</v>
      </c>
      <c r="L966" t="s">
        <v>20</v>
      </c>
      <c r="M966" t="s">
        <v>107</v>
      </c>
      <c r="R966" t="s">
        <v>3968</v>
      </c>
      <c r="W966" t="s">
        <v>3966</v>
      </c>
      <c r="X966" t="s">
        <v>263</v>
      </c>
      <c r="Y966" t="s">
        <v>1253</v>
      </c>
      <c r="Z966" t="s">
        <v>110</v>
      </c>
      <c r="AA966" t="str">
        <f>"11101-4347"</f>
        <v>11101-4347</v>
      </c>
      <c r="AB966" t="s">
        <v>191</v>
      </c>
      <c r="AC966" t="s">
        <v>112</v>
      </c>
      <c r="AD966" t="s">
        <v>107</v>
      </c>
      <c r="AE966" t="s">
        <v>113</v>
      </c>
      <c r="AG966" t="s">
        <v>114</v>
      </c>
    </row>
    <row r="967" spans="1:33" x14ac:dyDescent="0.25">
      <c r="A967" t="str">
        <f>"1174639819"</f>
        <v>1174639819</v>
      </c>
      <c r="B967" t="str">
        <f>"01053901"</f>
        <v>01053901</v>
      </c>
      <c r="C967" t="s">
        <v>3969</v>
      </c>
      <c r="D967" t="s">
        <v>3970</v>
      </c>
      <c r="E967" t="s">
        <v>3971</v>
      </c>
      <c r="G967" t="s">
        <v>251</v>
      </c>
      <c r="H967" t="s">
        <v>252</v>
      </c>
      <c r="I967">
        <v>215</v>
      </c>
      <c r="J967" t="s">
        <v>253</v>
      </c>
      <c r="L967" t="s">
        <v>166</v>
      </c>
      <c r="M967" t="s">
        <v>107</v>
      </c>
      <c r="R967" t="s">
        <v>3969</v>
      </c>
      <c r="W967" t="s">
        <v>3972</v>
      </c>
      <c r="X967" t="s">
        <v>3973</v>
      </c>
      <c r="Y967" t="s">
        <v>1001</v>
      </c>
      <c r="Z967" t="s">
        <v>110</v>
      </c>
      <c r="AA967" t="str">
        <f>"11691-1074"</f>
        <v>11691-1074</v>
      </c>
      <c r="AB967" t="s">
        <v>172</v>
      </c>
      <c r="AC967" t="s">
        <v>112</v>
      </c>
      <c r="AD967" t="s">
        <v>107</v>
      </c>
      <c r="AE967" t="s">
        <v>113</v>
      </c>
      <c r="AG967" t="s">
        <v>114</v>
      </c>
    </row>
    <row r="968" spans="1:33" x14ac:dyDescent="0.25">
      <c r="A968" t="str">
        <f>"1013980994"</f>
        <v>1013980994</v>
      </c>
      <c r="B968" t="str">
        <f>"01020057"</f>
        <v>01020057</v>
      </c>
      <c r="C968" t="s">
        <v>3974</v>
      </c>
      <c r="D968" t="s">
        <v>3975</v>
      </c>
      <c r="E968" t="s">
        <v>3976</v>
      </c>
      <c r="G968" t="s">
        <v>203</v>
      </c>
      <c r="H968" t="s">
        <v>204</v>
      </c>
      <c r="J968" t="s">
        <v>205</v>
      </c>
      <c r="L968" t="s">
        <v>215</v>
      </c>
      <c r="M968" t="s">
        <v>107</v>
      </c>
      <c r="R968" t="s">
        <v>3974</v>
      </c>
      <c r="W968" t="s">
        <v>3976</v>
      </c>
      <c r="X968" t="s">
        <v>3977</v>
      </c>
      <c r="Y968" t="s">
        <v>240</v>
      </c>
      <c r="Z968" t="s">
        <v>110</v>
      </c>
      <c r="AA968" t="str">
        <f>"11234-6119"</f>
        <v>11234-6119</v>
      </c>
      <c r="AB968" t="s">
        <v>217</v>
      </c>
      <c r="AC968" t="s">
        <v>112</v>
      </c>
      <c r="AD968" t="s">
        <v>107</v>
      </c>
      <c r="AE968" t="s">
        <v>113</v>
      </c>
      <c r="AG968" t="s">
        <v>114</v>
      </c>
    </row>
    <row r="969" spans="1:33" x14ac:dyDescent="0.25">
      <c r="A969" t="str">
        <f>"1265873293"</f>
        <v>1265873293</v>
      </c>
      <c r="B969" t="str">
        <f>"03722983"</f>
        <v>03722983</v>
      </c>
      <c r="C969" t="s">
        <v>3978</v>
      </c>
      <c r="D969" t="s">
        <v>3979</v>
      </c>
      <c r="E969" t="s">
        <v>3978</v>
      </c>
      <c r="G969" t="s">
        <v>203</v>
      </c>
      <c r="H969" t="s">
        <v>204</v>
      </c>
      <c r="J969" t="s">
        <v>205</v>
      </c>
      <c r="L969" t="s">
        <v>373</v>
      </c>
      <c r="M969" t="s">
        <v>107</v>
      </c>
      <c r="R969" t="s">
        <v>3978</v>
      </c>
      <c r="W969" t="s">
        <v>3978</v>
      </c>
      <c r="X969" t="s">
        <v>3517</v>
      </c>
      <c r="Y969" t="s">
        <v>1159</v>
      </c>
      <c r="Z969" t="s">
        <v>110</v>
      </c>
      <c r="AA969" t="str">
        <f>"11377-4965"</f>
        <v>11377-4965</v>
      </c>
      <c r="AB969" t="s">
        <v>172</v>
      </c>
      <c r="AC969" t="s">
        <v>112</v>
      </c>
      <c r="AD969" t="s">
        <v>107</v>
      </c>
      <c r="AE969" t="s">
        <v>113</v>
      </c>
      <c r="AG969" t="s">
        <v>114</v>
      </c>
    </row>
    <row r="970" spans="1:33" x14ac:dyDescent="0.25">
      <c r="A970" t="str">
        <f>"1669490314"</f>
        <v>1669490314</v>
      </c>
      <c r="B970" t="str">
        <f>"00953631"</f>
        <v>00953631</v>
      </c>
      <c r="C970" t="s">
        <v>3980</v>
      </c>
      <c r="D970" t="s">
        <v>3981</v>
      </c>
      <c r="E970" t="s">
        <v>3982</v>
      </c>
      <c r="G970" t="s">
        <v>203</v>
      </c>
      <c r="H970" t="s">
        <v>204</v>
      </c>
      <c r="J970" t="s">
        <v>205</v>
      </c>
      <c r="L970" t="s">
        <v>215</v>
      </c>
      <c r="M970" t="s">
        <v>107</v>
      </c>
      <c r="R970" t="s">
        <v>3980</v>
      </c>
      <c r="W970" t="s">
        <v>3982</v>
      </c>
      <c r="X970" t="s">
        <v>3983</v>
      </c>
      <c r="Y970" t="s">
        <v>1285</v>
      </c>
      <c r="Z970" t="s">
        <v>110</v>
      </c>
      <c r="AA970" t="str">
        <f>"11104-2609"</f>
        <v>11104-2609</v>
      </c>
      <c r="AB970" t="s">
        <v>172</v>
      </c>
      <c r="AC970" t="s">
        <v>112</v>
      </c>
      <c r="AD970" t="s">
        <v>107</v>
      </c>
      <c r="AE970" t="s">
        <v>113</v>
      </c>
      <c r="AG970" t="s">
        <v>114</v>
      </c>
    </row>
    <row r="971" spans="1:33" x14ac:dyDescent="0.25">
      <c r="A971" t="str">
        <f>"1750391629"</f>
        <v>1750391629</v>
      </c>
      <c r="B971" t="str">
        <f>"02800948"</f>
        <v>02800948</v>
      </c>
      <c r="C971" t="s">
        <v>3984</v>
      </c>
      <c r="D971" t="s">
        <v>3985</v>
      </c>
      <c r="E971" t="s">
        <v>3986</v>
      </c>
      <c r="G971" t="s">
        <v>212</v>
      </c>
      <c r="H971" t="s">
        <v>213</v>
      </c>
      <c r="J971" t="s">
        <v>214</v>
      </c>
      <c r="L971" t="s">
        <v>166</v>
      </c>
      <c r="M971" t="s">
        <v>167</v>
      </c>
      <c r="R971" t="s">
        <v>3984</v>
      </c>
      <c r="W971" t="s">
        <v>3986</v>
      </c>
      <c r="X971" t="s">
        <v>3987</v>
      </c>
      <c r="Y971" t="s">
        <v>3988</v>
      </c>
      <c r="Z971" t="s">
        <v>110</v>
      </c>
      <c r="AA971" t="str">
        <f>"11565-1330"</f>
        <v>11565-1330</v>
      </c>
      <c r="AB971" t="s">
        <v>172</v>
      </c>
      <c r="AC971" t="s">
        <v>112</v>
      </c>
      <c r="AD971" t="s">
        <v>107</v>
      </c>
      <c r="AE971" t="s">
        <v>113</v>
      </c>
      <c r="AG971" t="s">
        <v>114</v>
      </c>
    </row>
    <row r="972" spans="1:33" x14ac:dyDescent="0.25">
      <c r="A972" t="str">
        <f>"1770521775"</f>
        <v>1770521775</v>
      </c>
      <c r="B972" t="str">
        <f>"02184430"</f>
        <v>02184430</v>
      </c>
      <c r="C972" t="s">
        <v>3989</v>
      </c>
      <c r="D972" t="s">
        <v>3990</v>
      </c>
      <c r="E972" t="s">
        <v>3991</v>
      </c>
      <c r="G972" t="s">
        <v>1027</v>
      </c>
      <c r="H972" t="s">
        <v>1028</v>
      </c>
      <c r="J972" t="s">
        <v>1029</v>
      </c>
      <c r="L972" t="s">
        <v>117</v>
      </c>
      <c r="M972" t="s">
        <v>167</v>
      </c>
      <c r="R972" t="s">
        <v>3989</v>
      </c>
      <c r="W972" t="s">
        <v>3989</v>
      </c>
      <c r="X972" t="s">
        <v>3992</v>
      </c>
      <c r="Y972" t="s">
        <v>422</v>
      </c>
      <c r="Z972" t="s">
        <v>110</v>
      </c>
      <c r="AA972" t="str">
        <f>"11418"</f>
        <v>11418</v>
      </c>
      <c r="AB972" t="s">
        <v>172</v>
      </c>
      <c r="AC972" t="s">
        <v>112</v>
      </c>
      <c r="AD972" t="s">
        <v>107</v>
      </c>
      <c r="AE972" t="s">
        <v>113</v>
      </c>
      <c r="AG972" t="s">
        <v>114</v>
      </c>
    </row>
    <row r="973" spans="1:33" x14ac:dyDescent="0.25">
      <c r="A973" t="str">
        <f>"1851391692"</f>
        <v>1851391692</v>
      </c>
      <c r="B973" t="str">
        <f>"02172223"</f>
        <v>02172223</v>
      </c>
      <c r="C973" t="s">
        <v>3993</v>
      </c>
      <c r="D973" t="s">
        <v>3994</v>
      </c>
      <c r="E973" t="s">
        <v>3995</v>
      </c>
      <c r="G973" t="s">
        <v>394</v>
      </c>
      <c r="H973" t="s">
        <v>395</v>
      </c>
      <c r="J973" t="s">
        <v>396</v>
      </c>
      <c r="L973" t="s">
        <v>166</v>
      </c>
      <c r="M973" t="s">
        <v>167</v>
      </c>
      <c r="R973" t="s">
        <v>3993</v>
      </c>
      <c r="W973" t="s">
        <v>3995</v>
      </c>
      <c r="X973" t="s">
        <v>732</v>
      </c>
      <c r="Y973" t="s">
        <v>356</v>
      </c>
      <c r="Z973" t="s">
        <v>110</v>
      </c>
      <c r="AA973" t="str">
        <f>"10701-4004"</f>
        <v>10701-4004</v>
      </c>
      <c r="AB973" t="s">
        <v>172</v>
      </c>
      <c r="AC973" t="s">
        <v>112</v>
      </c>
      <c r="AD973" t="s">
        <v>107</v>
      </c>
      <c r="AE973" t="s">
        <v>113</v>
      </c>
      <c r="AG973" t="s">
        <v>114</v>
      </c>
    </row>
    <row r="974" spans="1:33" x14ac:dyDescent="0.25">
      <c r="A974" t="str">
        <f>"1972618429"</f>
        <v>1972618429</v>
      </c>
      <c r="B974" t="str">
        <f>"01841001"</f>
        <v>01841001</v>
      </c>
      <c r="C974" t="s">
        <v>3996</v>
      </c>
      <c r="D974" t="s">
        <v>3997</v>
      </c>
      <c r="E974" t="s">
        <v>3998</v>
      </c>
      <c r="G974" t="s">
        <v>1027</v>
      </c>
      <c r="H974" t="s">
        <v>1028</v>
      </c>
      <c r="J974" t="s">
        <v>1029</v>
      </c>
      <c r="L974" t="s">
        <v>117</v>
      </c>
      <c r="M974" t="s">
        <v>107</v>
      </c>
      <c r="W974" t="s">
        <v>3998</v>
      </c>
      <c r="X974" t="s">
        <v>1924</v>
      </c>
      <c r="Y974" t="s">
        <v>240</v>
      </c>
      <c r="Z974" t="s">
        <v>110</v>
      </c>
      <c r="AA974" t="str">
        <f>"11220-2559"</f>
        <v>11220-2559</v>
      </c>
      <c r="AB974" t="s">
        <v>172</v>
      </c>
      <c r="AC974" t="s">
        <v>112</v>
      </c>
      <c r="AD974" t="s">
        <v>107</v>
      </c>
      <c r="AE974" t="s">
        <v>113</v>
      </c>
      <c r="AG974" t="s">
        <v>114</v>
      </c>
    </row>
    <row r="975" spans="1:33" x14ac:dyDescent="0.25">
      <c r="A975" t="str">
        <f>"1316951882"</f>
        <v>1316951882</v>
      </c>
      <c r="B975" t="str">
        <f>"01937044"</f>
        <v>01937044</v>
      </c>
      <c r="C975" t="s">
        <v>3999</v>
      </c>
      <c r="D975" t="s">
        <v>4000</v>
      </c>
      <c r="E975" t="s">
        <v>4001</v>
      </c>
      <c r="G975" t="s">
        <v>2430</v>
      </c>
      <c r="H975" t="s">
        <v>2431</v>
      </c>
      <c r="J975" t="s">
        <v>2432</v>
      </c>
      <c r="L975" t="s">
        <v>106</v>
      </c>
      <c r="M975" t="s">
        <v>107</v>
      </c>
      <c r="R975" t="s">
        <v>3999</v>
      </c>
      <c r="W975" t="s">
        <v>4001</v>
      </c>
      <c r="X975" t="s">
        <v>4002</v>
      </c>
      <c r="Y975" t="s">
        <v>240</v>
      </c>
      <c r="Z975" t="s">
        <v>110</v>
      </c>
      <c r="AA975" t="str">
        <f>"11221-3253"</f>
        <v>11221-3253</v>
      </c>
      <c r="AB975" t="s">
        <v>172</v>
      </c>
      <c r="AC975" t="s">
        <v>112</v>
      </c>
      <c r="AD975" t="s">
        <v>107</v>
      </c>
      <c r="AE975" t="s">
        <v>113</v>
      </c>
      <c r="AG975" t="s">
        <v>114</v>
      </c>
    </row>
    <row r="976" spans="1:33" x14ac:dyDescent="0.25">
      <c r="A976" t="str">
        <f>"1841573516"</f>
        <v>1841573516</v>
      </c>
      <c r="B976" t="str">
        <f>"03430462"</f>
        <v>03430462</v>
      </c>
      <c r="C976" t="s">
        <v>4003</v>
      </c>
      <c r="D976" t="s">
        <v>4004</v>
      </c>
      <c r="E976" t="s">
        <v>4003</v>
      </c>
      <c r="G976" t="s">
        <v>176</v>
      </c>
      <c r="H976" t="s">
        <v>177</v>
      </c>
      <c r="I976">
        <v>3264</v>
      </c>
      <c r="J976" t="s">
        <v>178</v>
      </c>
      <c r="L976" t="s">
        <v>514</v>
      </c>
      <c r="M976" t="s">
        <v>167</v>
      </c>
      <c r="R976" t="s">
        <v>4003</v>
      </c>
      <c r="W976" t="s">
        <v>4003</v>
      </c>
      <c r="X976" t="s">
        <v>259</v>
      </c>
      <c r="Y976" t="s">
        <v>183</v>
      </c>
      <c r="Z976" t="s">
        <v>110</v>
      </c>
      <c r="AA976" t="str">
        <f>"10452-2001"</f>
        <v>10452-2001</v>
      </c>
      <c r="AB976" t="s">
        <v>172</v>
      </c>
      <c r="AC976" t="s">
        <v>112</v>
      </c>
      <c r="AD976" t="s">
        <v>107</v>
      </c>
      <c r="AE976" t="s">
        <v>113</v>
      </c>
      <c r="AG976" t="s">
        <v>114</v>
      </c>
    </row>
    <row r="977" spans="1:35" x14ac:dyDescent="0.25">
      <c r="A977" t="str">
        <f>"1720186414"</f>
        <v>1720186414</v>
      </c>
      <c r="B977" t="str">
        <f>"01786552"</f>
        <v>01786552</v>
      </c>
      <c r="C977" t="s">
        <v>4005</v>
      </c>
      <c r="D977" t="s">
        <v>4006</v>
      </c>
      <c r="E977" t="s">
        <v>4007</v>
      </c>
      <c r="G977" t="s">
        <v>267</v>
      </c>
      <c r="H977" t="s">
        <v>268</v>
      </c>
      <c r="I977">
        <v>4223</v>
      </c>
      <c r="J977" t="s">
        <v>269</v>
      </c>
      <c r="L977" t="s">
        <v>166</v>
      </c>
      <c r="M977" t="s">
        <v>167</v>
      </c>
      <c r="R977" t="s">
        <v>4005</v>
      </c>
      <c r="W977" t="s">
        <v>4008</v>
      </c>
      <c r="X977" t="s">
        <v>900</v>
      </c>
      <c r="Y977" t="s">
        <v>171</v>
      </c>
      <c r="Z977" t="s">
        <v>110</v>
      </c>
      <c r="AA977" t="str">
        <f>"11373-4941"</f>
        <v>11373-4941</v>
      </c>
      <c r="AB977" t="s">
        <v>172</v>
      </c>
      <c r="AC977" t="s">
        <v>112</v>
      </c>
      <c r="AD977" t="s">
        <v>107</v>
      </c>
      <c r="AE977" t="s">
        <v>113</v>
      </c>
      <c r="AG977" t="s">
        <v>114</v>
      </c>
    </row>
    <row r="978" spans="1:35" x14ac:dyDescent="0.25">
      <c r="A978" t="str">
        <f>"1093785057"</f>
        <v>1093785057</v>
      </c>
      <c r="B978" t="str">
        <f>"01282686"</f>
        <v>01282686</v>
      </c>
      <c r="C978" t="s">
        <v>4009</v>
      </c>
      <c r="D978" t="s">
        <v>4010</v>
      </c>
      <c r="E978" t="s">
        <v>4011</v>
      </c>
      <c r="G978" t="s">
        <v>465</v>
      </c>
      <c r="H978" t="s">
        <v>466</v>
      </c>
      <c r="J978" t="s">
        <v>467</v>
      </c>
      <c r="L978" t="s">
        <v>215</v>
      </c>
      <c r="M978" t="s">
        <v>167</v>
      </c>
      <c r="R978" t="s">
        <v>4009</v>
      </c>
      <c r="W978" t="s">
        <v>4011</v>
      </c>
      <c r="X978" t="s">
        <v>4012</v>
      </c>
      <c r="Y978" t="s">
        <v>325</v>
      </c>
      <c r="Z978" t="s">
        <v>110</v>
      </c>
      <c r="AA978" t="str">
        <f>"10005-2779"</f>
        <v>10005-2779</v>
      </c>
      <c r="AB978" t="s">
        <v>172</v>
      </c>
      <c r="AC978" t="s">
        <v>112</v>
      </c>
      <c r="AD978" t="s">
        <v>107</v>
      </c>
      <c r="AE978" t="s">
        <v>113</v>
      </c>
      <c r="AG978" t="s">
        <v>114</v>
      </c>
    </row>
    <row r="979" spans="1:35" x14ac:dyDescent="0.25">
      <c r="A979" t="str">
        <f>"1134284581"</f>
        <v>1134284581</v>
      </c>
      <c r="B979" t="str">
        <f>"01925768"</f>
        <v>01925768</v>
      </c>
      <c r="C979" t="s">
        <v>4013</v>
      </c>
      <c r="D979" t="s">
        <v>4014</v>
      </c>
      <c r="E979" t="s">
        <v>4015</v>
      </c>
      <c r="G979" t="s">
        <v>402</v>
      </c>
      <c r="H979" t="s">
        <v>403</v>
      </c>
      <c r="J979" t="s">
        <v>404</v>
      </c>
      <c r="L979" t="s">
        <v>166</v>
      </c>
      <c r="M979" t="s">
        <v>107</v>
      </c>
      <c r="R979" t="s">
        <v>4013</v>
      </c>
      <c r="W979" t="s">
        <v>4015</v>
      </c>
      <c r="X979" t="s">
        <v>2455</v>
      </c>
      <c r="Y979" t="s">
        <v>240</v>
      </c>
      <c r="Z979" t="s">
        <v>110</v>
      </c>
      <c r="AA979" t="str">
        <f>"11237-4006"</f>
        <v>11237-4006</v>
      </c>
      <c r="AB979" t="s">
        <v>172</v>
      </c>
      <c r="AC979" t="s">
        <v>112</v>
      </c>
      <c r="AD979" t="s">
        <v>107</v>
      </c>
      <c r="AE979" t="s">
        <v>113</v>
      </c>
      <c r="AG979" t="s">
        <v>114</v>
      </c>
    </row>
    <row r="980" spans="1:35" x14ac:dyDescent="0.25">
      <c r="A980" t="str">
        <f>"1285889352"</f>
        <v>1285889352</v>
      </c>
      <c r="B980" t="str">
        <f>"03589388"</f>
        <v>03589388</v>
      </c>
      <c r="C980" t="s">
        <v>4016</v>
      </c>
      <c r="D980" t="s">
        <v>4017</v>
      </c>
      <c r="E980" t="s">
        <v>4018</v>
      </c>
      <c r="G980" t="s">
        <v>195</v>
      </c>
      <c r="H980" t="s">
        <v>196</v>
      </c>
      <c r="J980" t="s">
        <v>197</v>
      </c>
      <c r="L980" t="s">
        <v>166</v>
      </c>
      <c r="M980" t="s">
        <v>107</v>
      </c>
      <c r="R980" t="s">
        <v>4016</v>
      </c>
      <c r="W980" t="s">
        <v>4019</v>
      </c>
      <c r="X980" t="s">
        <v>311</v>
      </c>
      <c r="Y980" t="s">
        <v>225</v>
      </c>
      <c r="Z980" t="s">
        <v>110</v>
      </c>
      <c r="AA980" t="str">
        <f>"11355-5045"</f>
        <v>11355-5045</v>
      </c>
      <c r="AB980" t="s">
        <v>172</v>
      </c>
      <c r="AC980" t="s">
        <v>112</v>
      </c>
      <c r="AD980" t="s">
        <v>107</v>
      </c>
      <c r="AE980" t="s">
        <v>113</v>
      </c>
      <c r="AG980" t="s">
        <v>114</v>
      </c>
    </row>
    <row r="981" spans="1:35" x14ac:dyDescent="0.25">
      <c r="A981" t="str">
        <f>"1578818712"</f>
        <v>1578818712</v>
      </c>
      <c r="C981" t="s">
        <v>4020</v>
      </c>
      <c r="G981" t="s">
        <v>273</v>
      </c>
      <c r="H981" t="s">
        <v>274</v>
      </c>
      <c r="J981" t="s">
        <v>275</v>
      </c>
      <c r="K981" t="s">
        <v>276</v>
      </c>
      <c r="L981" t="s">
        <v>106</v>
      </c>
      <c r="M981" t="s">
        <v>107</v>
      </c>
      <c r="R981" t="s">
        <v>4020</v>
      </c>
      <c r="S981" t="s">
        <v>1284</v>
      </c>
      <c r="T981" t="s">
        <v>1285</v>
      </c>
      <c r="U981" t="s">
        <v>110</v>
      </c>
      <c r="V981" t="str">
        <f>"111042406"</f>
        <v>111042406</v>
      </c>
      <c r="AC981" t="s">
        <v>112</v>
      </c>
      <c r="AD981" t="s">
        <v>107</v>
      </c>
      <c r="AE981" t="s">
        <v>278</v>
      </c>
      <c r="AG981" t="s">
        <v>114</v>
      </c>
    </row>
    <row r="982" spans="1:35" x14ac:dyDescent="0.25">
      <c r="A982" t="str">
        <f>"1033219571"</f>
        <v>1033219571</v>
      </c>
      <c r="B982" t="str">
        <f>"02159319"</f>
        <v>02159319</v>
      </c>
      <c r="C982" t="s">
        <v>4021</v>
      </c>
      <c r="D982" t="s">
        <v>4022</v>
      </c>
      <c r="E982" t="s">
        <v>4023</v>
      </c>
      <c r="G982" t="s">
        <v>244</v>
      </c>
      <c r="H982" t="s">
        <v>245</v>
      </c>
      <c r="I982">
        <v>3484</v>
      </c>
      <c r="J982" t="s">
        <v>246</v>
      </c>
      <c r="L982" t="s">
        <v>106</v>
      </c>
      <c r="M982" t="s">
        <v>107</v>
      </c>
      <c r="R982" t="s">
        <v>4021</v>
      </c>
      <c r="W982" t="s">
        <v>4023</v>
      </c>
      <c r="X982" t="s">
        <v>4024</v>
      </c>
      <c r="Y982" t="s">
        <v>325</v>
      </c>
      <c r="Z982" t="s">
        <v>110</v>
      </c>
      <c r="AA982" t="str">
        <f>"10075-0202"</f>
        <v>10075-0202</v>
      </c>
      <c r="AB982" t="s">
        <v>172</v>
      </c>
      <c r="AC982" t="s">
        <v>112</v>
      </c>
      <c r="AD982" t="s">
        <v>107</v>
      </c>
      <c r="AE982" t="s">
        <v>113</v>
      </c>
      <c r="AG982" t="s">
        <v>114</v>
      </c>
    </row>
    <row r="983" spans="1:35" x14ac:dyDescent="0.25">
      <c r="A983" t="str">
        <f>"1801902663"</f>
        <v>1801902663</v>
      </c>
      <c r="B983" t="str">
        <f>"03113251"</f>
        <v>03113251</v>
      </c>
      <c r="C983" t="s">
        <v>4025</v>
      </c>
      <c r="D983" t="s">
        <v>4026</v>
      </c>
      <c r="E983" t="s">
        <v>4027</v>
      </c>
      <c r="G983" t="s">
        <v>251</v>
      </c>
      <c r="H983" t="s">
        <v>252</v>
      </c>
      <c r="I983">
        <v>215</v>
      </c>
      <c r="J983" t="s">
        <v>253</v>
      </c>
      <c r="L983" t="s">
        <v>215</v>
      </c>
      <c r="M983" t="s">
        <v>107</v>
      </c>
      <c r="R983" t="s">
        <v>4025</v>
      </c>
      <c r="W983" t="s">
        <v>4027</v>
      </c>
      <c r="X983" t="s">
        <v>4028</v>
      </c>
      <c r="Y983" t="s">
        <v>240</v>
      </c>
      <c r="Z983" t="s">
        <v>110</v>
      </c>
      <c r="AA983" t="str">
        <f>"11234-3918"</f>
        <v>11234-3918</v>
      </c>
      <c r="AB983" t="s">
        <v>172</v>
      </c>
      <c r="AC983" t="s">
        <v>112</v>
      </c>
      <c r="AD983" t="s">
        <v>107</v>
      </c>
      <c r="AE983" t="s">
        <v>113</v>
      </c>
      <c r="AG983" t="s">
        <v>114</v>
      </c>
    </row>
    <row r="984" spans="1:35" x14ac:dyDescent="0.25">
      <c r="A984" t="str">
        <f>"1649363342"</f>
        <v>1649363342</v>
      </c>
      <c r="C984" t="s">
        <v>4029</v>
      </c>
      <c r="G984" t="s">
        <v>4030</v>
      </c>
      <c r="H984" t="s">
        <v>4031</v>
      </c>
      <c r="I984">
        <v>3114</v>
      </c>
      <c r="J984" t="s">
        <v>4032</v>
      </c>
      <c r="K984" t="s">
        <v>372</v>
      </c>
      <c r="L984" t="s">
        <v>373</v>
      </c>
      <c r="M984" t="s">
        <v>167</v>
      </c>
      <c r="R984" t="s">
        <v>4033</v>
      </c>
      <c r="S984" t="s">
        <v>4034</v>
      </c>
      <c r="T984" t="s">
        <v>240</v>
      </c>
      <c r="U984" t="s">
        <v>110</v>
      </c>
      <c r="V984" t="str">
        <f>"112345126"</f>
        <v>112345126</v>
      </c>
      <c r="AC984" t="s">
        <v>112</v>
      </c>
      <c r="AD984" t="s">
        <v>107</v>
      </c>
      <c r="AE984" t="s">
        <v>278</v>
      </c>
      <c r="AG984" t="s">
        <v>114</v>
      </c>
      <c r="AI984" t="s">
        <v>376</v>
      </c>
    </row>
    <row r="985" spans="1:35" x14ac:dyDescent="0.25">
      <c r="A985" t="str">
        <f>"1801201231"</f>
        <v>1801201231</v>
      </c>
      <c r="B985" t="str">
        <f>"04362209"</f>
        <v>04362209</v>
      </c>
      <c r="C985" t="s">
        <v>4035</v>
      </c>
      <c r="D985" t="s">
        <v>4036</v>
      </c>
      <c r="E985" t="s">
        <v>4037</v>
      </c>
      <c r="G985" t="s">
        <v>4038</v>
      </c>
      <c r="H985" t="s">
        <v>4039</v>
      </c>
      <c r="I985">
        <v>215</v>
      </c>
      <c r="J985" t="s">
        <v>4040</v>
      </c>
      <c r="L985" t="s">
        <v>19</v>
      </c>
      <c r="M985" t="s">
        <v>107</v>
      </c>
      <c r="R985" t="s">
        <v>4037</v>
      </c>
      <c r="W985" t="s">
        <v>4037</v>
      </c>
      <c r="X985" t="s">
        <v>3147</v>
      </c>
      <c r="Y985" t="s">
        <v>240</v>
      </c>
      <c r="Z985" t="s">
        <v>110</v>
      </c>
      <c r="AA985" t="str">
        <f>"11234-6435"</f>
        <v>11234-6435</v>
      </c>
      <c r="AB985" t="s">
        <v>1614</v>
      </c>
      <c r="AC985" t="s">
        <v>112</v>
      </c>
      <c r="AD985" t="s">
        <v>107</v>
      </c>
      <c r="AE985" t="s">
        <v>113</v>
      </c>
      <c r="AG985" t="s">
        <v>114</v>
      </c>
      <c r="AI985" t="s">
        <v>376</v>
      </c>
    </row>
    <row r="986" spans="1:35" x14ac:dyDescent="0.25">
      <c r="A986" t="str">
        <f>"1609140334"</f>
        <v>1609140334</v>
      </c>
      <c r="B986" t="str">
        <f>"02105622"</f>
        <v>02105622</v>
      </c>
      <c r="C986" t="s">
        <v>4041</v>
      </c>
      <c r="D986" t="s">
        <v>4042</v>
      </c>
      <c r="E986" t="s">
        <v>4043</v>
      </c>
      <c r="G986" t="s">
        <v>4044</v>
      </c>
      <c r="H986" t="s">
        <v>4045</v>
      </c>
      <c r="J986" t="s">
        <v>4046</v>
      </c>
      <c r="L986" t="s">
        <v>166</v>
      </c>
      <c r="M986" t="s">
        <v>167</v>
      </c>
      <c r="R986" t="s">
        <v>4047</v>
      </c>
      <c r="W986" t="s">
        <v>4043</v>
      </c>
      <c r="X986" t="s">
        <v>4048</v>
      </c>
      <c r="Y986" t="s">
        <v>969</v>
      </c>
      <c r="Z986" t="s">
        <v>110</v>
      </c>
      <c r="AA986" t="str">
        <f>"11385-3331"</f>
        <v>11385-3331</v>
      </c>
      <c r="AB986" t="s">
        <v>172</v>
      </c>
      <c r="AC986" t="s">
        <v>112</v>
      </c>
      <c r="AD986" t="s">
        <v>107</v>
      </c>
      <c r="AE986" t="s">
        <v>113</v>
      </c>
      <c r="AG986" t="s">
        <v>114</v>
      </c>
    </row>
    <row r="987" spans="1:35" x14ac:dyDescent="0.25">
      <c r="A987" t="str">
        <f>"1275962011"</f>
        <v>1275962011</v>
      </c>
      <c r="B987" t="str">
        <f>"03788772"</f>
        <v>03788772</v>
      </c>
      <c r="C987" t="s">
        <v>4049</v>
      </c>
      <c r="D987" t="s">
        <v>4050</v>
      </c>
      <c r="E987" t="s">
        <v>4051</v>
      </c>
      <c r="G987" t="s">
        <v>1094</v>
      </c>
      <c r="H987" t="s">
        <v>1095</v>
      </c>
      <c r="I987">
        <v>273</v>
      </c>
      <c r="J987" t="s">
        <v>1096</v>
      </c>
      <c r="L987" t="s">
        <v>67</v>
      </c>
      <c r="M987" t="s">
        <v>107</v>
      </c>
      <c r="R987" t="s">
        <v>4052</v>
      </c>
      <c r="W987" t="s">
        <v>4051</v>
      </c>
      <c r="X987" t="s">
        <v>4053</v>
      </c>
      <c r="Y987" t="s">
        <v>325</v>
      </c>
      <c r="Z987" t="s">
        <v>110</v>
      </c>
      <c r="AA987" t="str">
        <f>"10075-0819"</f>
        <v>10075-0819</v>
      </c>
      <c r="AB987" t="s">
        <v>4054</v>
      </c>
      <c r="AC987" t="s">
        <v>112</v>
      </c>
      <c r="AD987" t="s">
        <v>107</v>
      </c>
      <c r="AE987" t="s">
        <v>113</v>
      </c>
      <c r="AG987" t="s">
        <v>114</v>
      </c>
    </row>
    <row r="988" spans="1:35" x14ac:dyDescent="0.25">
      <c r="A988" t="str">
        <f>"1649329806"</f>
        <v>1649329806</v>
      </c>
      <c r="B988" t="str">
        <f>"00244371"</f>
        <v>00244371</v>
      </c>
      <c r="C988" t="s">
        <v>4055</v>
      </c>
      <c r="D988" t="s">
        <v>4056</v>
      </c>
      <c r="E988" t="s">
        <v>4057</v>
      </c>
      <c r="G988" t="s">
        <v>4058</v>
      </c>
      <c r="H988" t="s">
        <v>4059</v>
      </c>
      <c r="I988">
        <v>215</v>
      </c>
      <c r="J988" t="s">
        <v>4060</v>
      </c>
      <c r="L988" t="s">
        <v>822</v>
      </c>
      <c r="M988" t="s">
        <v>167</v>
      </c>
      <c r="R988" t="s">
        <v>4061</v>
      </c>
      <c r="W988" t="s">
        <v>4062</v>
      </c>
      <c r="X988" t="s">
        <v>4063</v>
      </c>
      <c r="Y988" t="s">
        <v>422</v>
      </c>
      <c r="Z988" t="s">
        <v>110</v>
      </c>
      <c r="AA988" t="str">
        <f>"11432-5072"</f>
        <v>11432-5072</v>
      </c>
      <c r="AB988" t="s">
        <v>191</v>
      </c>
      <c r="AC988" t="s">
        <v>112</v>
      </c>
      <c r="AD988" t="s">
        <v>107</v>
      </c>
      <c r="AE988" t="s">
        <v>113</v>
      </c>
      <c r="AG988" t="s">
        <v>114</v>
      </c>
    </row>
    <row r="989" spans="1:35" x14ac:dyDescent="0.25">
      <c r="A989" t="str">
        <f>"1346249216"</f>
        <v>1346249216</v>
      </c>
      <c r="B989" t="str">
        <f>"00309600"</f>
        <v>00309600</v>
      </c>
      <c r="C989" t="s">
        <v>4064</v>
      </c>
      <c r="D989" t="s">
        <v>4065</v>
      </c>
      <c r="E989" t="s">
        <v>4066</v>
      </c>
      <c r="G989" t="s">
        <v>4067</v>
      </c>
      <c r="H989" t="s">
        <v>4068</v>
      </c>
      <c r="I989">
        <v>4116</v>
      </c>
      <c r="J989" t="s">
        <v>4069</v>
      </c>
      <c r="L989" t="s">
        <v>405</v>
      </c>
      <c r="M989" t="s">
        <v>167</v>
      </c>
      <c r="R989" t="s">
        <v>4070</v>
      </c>
      <c r="W989" t="s">
        <v>4066</v>
      </c>
      <c r="X989" t="s">
        <v>4071</v>
      </c>
      <c r="Y989" t="s">
        <v>4072</v>
      </c>
      <c r="Z989" t="s">
        <v>110</v>
      </c>
      <c r="AA989" t="str">
        <f>"11577-1000"</f>
        <v>11577-1000</v>
      </c>
      <c r="AB989" t="s">
        <v>408</v>
      </c>
      <c r="AC989" t="s">
        <v>112</v>
      </c>
      <c r="AD989" t="s">
        <v>107</v>
      </c>
      <c r="AE989" t="s">
        <v>113</v>
      </c>
      <c r="AG989" t="s">
        <v>114</v>
      </c>
    </row>
    <row r="990" spans="1:35" x14ac:dyDescent="0.25">
      <c r="A990" t="str">
        <f>"1952347205"</f>
        <v>1952347205</v>
      </c>
      <c r="B990" t="str">
        <f>"02998992"</f>
        <v>02998992</v>
      </c>
      <c r="C990" t="s">
        <v>4073</v>
      </c>
      <c r="D990" t="s">
        <v>680</v>
      </c>
      <c r="E990" t="s">
        <v>681</v>
      </c>
      <c r="G990" t="s">
        <v>4074</v>
      </c>
      <c r="H990" t="s">
        <v>4075</v>
      </c>
      <c r="J990" t="s">
        <v>4076</v>
      </c>
      <c r="L990" t="s">
        <v>685</v>
      </c>
      <c r="M990" t="s">
        <v>167</v>
      </c>
      <c r="R990" t="s">
        <v>4077</v>
      </c>
      <c r="W990" t="s">
        <v>687</v>
      </c>
      <c r="X990" t="s">
        <v>311</v>
      </c>
      <c r="Y990" t="s">
        <v>225</v>
      </c>
      <c r="Z990" t="s">
        <v>110</v>
      </c>
      <c r="AA990" t="str">
        <f>"11355-5045"</f>
        <v>11355-5045</v>
      </c>
      <c r="AB990" t="s">
        <v>688</v>
      </c>
      <c r="AC990" t="s">
        <v>112</v>
      </c>
      <c r="AD990" t="s">
        <v>107</v>
      </c>
      <c r="AE990" t="s">
        <v>113</v>
      </c>
      <c r="AG990" t="s">
        <v>114</v>
      </c>
    </row>
    <row r="991" spans="1:35" x14ac:dyDescent="0.25">
      <c r="A991" t="str">
        <f>"1396825543"</f>
        <v>1396825543</v>
      </c>
      <c r="B991" t="str">
        <f>"00309691"</f>
        <v>00309691</v>
      </c>
      <c r="C991" t="s">
        <v>4078</v>
      </c>
      <c r="D991" t="s">
        <v>4079</v>
      </c>
      <c r="E991" t="s">
        <v>4080</v>
      </c>
      <c r="G991" t="s">
        <v>3370</v>
      </c>
      <c r="H991" t="s">
        <v>3371</v>
      </c>
      <c r="J991" t="s">
        <v>3372</v>
      </c>
      <c r="L991" t="s">
        <v>405</v>
      </c>
      <c r="M991" t="s">
        <v>167</v>
      </c>
      <c r="R991" t="s">
        <v>4078</v>
      </c>
      <c r="W991" t="s">
        <v>4081</v>
      </c>
      <c r="X991" t="s">
        <v>1768</v>
      </c>
      <c r="Y991" t="s">
        <v>235</v>
      </c>
      <c r="Z991" t="s">
        <v>110</v>
      </c>
      <c r="AA991" t="str">
        <f>"11361-2550"</f>
        <v>11361-2550</v>
      </c>
      <c r="AB991" t="s">
        <v>408</v>
      </c>
      <c r="AC991" t="s">
        <v>112</v>
      </c>
      <c r="AD991" t="s">
        <v>107</v>
      </c>
      <c r="AE991" t="s">
        <v>113</v>
      </c>
      <c r="AG991" t="s">
        <v>114</v>
      </c>
    </row>
    <row r="992" spans="1:35" x14ac:dyDescent="0.25">
      <c r="A992" t="str">
        <f>"1700872082"</f>
        <v>1700872082</v>
      </c>
      <c r="B992" t="str">
        <f>"00735373"</f>
        <v>00735373</v>
      </c>
      <c r="C992" t="s">
        <v>4082</v>
      </c>
      <c r="D992" t="s">
        <v>4083</v>
      </c>
      <c r="E992" t="s">
        <v>4084</v>
      </c>
      <c r="G992" t="s">
        <v>673</v>
      </c>
      <c r="H992" t="s">
        <v>674</v>
      </c>
      <c r="I992">
        <v>6128</v>
      </c>
      <c r="J992" t="s">
        <v>675</v>
      </c>
      <c r="L992" t="s">
        <v>166</v>
      </c>
      <c r="M992" t="s">
        <v>107</v>
      </c>
      <c r="R992" t="s">
        <v>4082</v>
      </c>
      <c r="W992" t="s">
        <v>4085</v>
      </c>
      <c r="X992" t="s">
        <v>4086</v>
      </c>
      <c r="Y992" t="s">
        <v>200</v>
      </c>
      <c r="Z992" t="s">
        <v>110</v>
      </c>
      <c r="AA992" t="str">
        <f>"11372-5804"</f>
        <v>11372-5804</v>
      </c>
      <c r="AB992" t="s">
        <v>172</v>
      </c>
      <c r="AC992" t="s">
        <v>112</v>
      </c>
      <c r="AD992" t="s">
        <v>107</v>
      </c>
      <c r="AE992" t="s">
        <v>113</v>
      </c>
      <c r="AG992" t="s">
        <v>114</v>
      </c>
    </row>
    <row r="993" spans="1:35" x14ac:dyDescent="0.25">
      <c r="A993" t="str">
        <f>"1689720450"</f>
        <v>1689720450</v>
      </c>
      <c r="B993" t="str">
        <f>"01675878"</f>
        <v>01675878</v>
      </c>
      <c r="C993" t="s">
        <v>4087</v>
      </c>
      <c r="D993" t="s">
        <v>4088</v>
      </c>
      <c r="E993" t="s">
        <v>4089</v>
      </c>
      <c r="G993" t="s">
        <v>673</v>
      </c>
      <c r="H993" t="s">
        <v>674</v>
      </c>
      <c r="I993">
        <v>6128</v>
      </c>
      <c r="J993" t="s">
        <v>675</v>
      </c>
      <c r="L993" t="s">
        <v>106</v>
      </c>
      <c r="M993" t="s">
        <v>107</v>
      </c>
      <c r="R993" t="s">
        <v>4087</v>
      </c>
      <c r="W993" t="s">
        <v>4090</v>
      </c>
      <c r="X993" t="s">
        <v>4091</v>
      </c>
      <c r="Y993" t="s">
        <v>790</v>
      </c>
      <c r="Z993" t="s">
        <v>110</v>
      </c>
      <c r="AA993" t="str">
        <f>"11004-1312"</f>
        <v>11004-1312</v>
      </c>
      <c r="AB993" t="s">
        <v>172</v>
      </c>
      <c r="AC993" t="s">
        <v>112</v>
      </c>
      <c r="AD993" t="s">
        <v>107</v>
      </c>
      <c r="AE993" t="s">
        <v>113</v>
      </c>
      <c r="AG993" t="s">
        <v>114</v>
      </c>
    </row>
    <row r="994" spans="1:35" x14ac:dyDescent="0.25">
      <c r="A994" t="str">
        <f>"1942226410"</f>
        <v>1942226410</v>
      </c>
      <c r="B994" t="str">
        <f>"01630524"</f>
        <v>01630524</v>
      </c>
      <c r="C994" t="s">
        <v>4092</v>
      </c>
      <c r="D994" t="s">
        <v>4093</v>
      </c>
      <c r="E994" t="s">
        <v>4094</v>
      </c>
      <c r="G994" t="s">
        <v>673</v>
      </c>
      <c r="H994" t="s">
        <v>674</v>
      </c>
      <c r="I994">
        <v>6128</v>
      </c>
      <c r="J994" t="s">
        <v>675</v>
      </c>
      <c r="L994" t="s">
        <v>166</v>
      </c>
      <c r="M994" t="s">
        <v>107</v>
      </c>
      <c r="R994" t="s">
        <v>4092</v>
      </c>
      <c r="W994" t="s">
        <v>4094</v>
      </c>
      <c r="X994" t="s">
        <v>4095</v>
      </c>
      <c r="Y994" t="s">
        <v>626</v>
      </c>
      <c r="Z994" t="s">
        <v>110</v>
      </c>
      <c r="AA994" t="str">
        <f>"11102-3255"</f>
        <v>11102-3255</v>
      </c>
      <c r="AB994" t="s">
        <v>172</v>
      </c>
      <c r="AC994" t="s">
        <v>112</v>
      </c>
      <c r="AD994" t="s">
        <v>107</v>
      </c>
      <c r="AE994" t="s">
        <v>113</v>
      </c>
      <c r="AG994" t="s">
        <v>114</v>
      </c>
    </row>
    <row r="995" spans="1:35" x14ac:dyDescent="0.25">
      <c r="A995" t="str">
        <f>"1215992177"</f>
        <v>1215992177</v>
      </c>
      <c r="B995" t="str">
        <f>"01410553"</f>
        <v>01410553</v>
      </c>
      <c r="C995" t="s">
        <v>4096</v>
      </c>
      <c r="D995" t="s">
        <v>4097</v>
      </c>
      <c r="E995" t="s">
        <v>4098</v>
      </c>
      <c r="G995" t="s">
        <v>673</v>
      </c>
      <c r="H995" t="s">
        <v>674</v>
      </c>
      <c r="I995">
        <v>6128</v>
      </c>
      <c r="J995" t="s">
        <v>675</v>
      </c>
      <c r="L995" t="s">
        <v>215</v>
      </c>
      <c r="M995" t="s">
        <v>107</v>
      </c>
      <c r="R995" t="s">
        <v>4096</v>
      </c>
      <c r="W995" t="s">
        <v>4098</v>
      </c>
      <c r="X995" t="s">
        <v>4099</v>
      </c>
      <c r="Y995" t="s">
        <v>1285</v>
      </c>
      <c r="Z995" t="s">
        <v>110</v>
      </c>
      <c r="AA995" t="str">
        <f>"11104-2254"</f>
        <v>11104-2254</v>
      </c>
      <c r="AB995" t="s">
        <v>172</v>
      </c>
      <c r="AC995" t="s">
        <v>112</v>
      </c>
      <c r="AD995" t="s">
        <v>107</v>
      </c>
      <c r="AE995" t="s">
        <v>113</v>
      </c>
      <c r="AG995" t="s">
        <v>114</v>
      </c>
    </row>
    <row r="996" spans="1:35" x14ac:dyDescent="0.25">
      <c r="A996" t="str">
        <f>"1699773291"</f>
        <v>1699773291</v>
      </c>
      <c r="B996" t="str">
        <f>"00759673"</f>
        <v>00759673</v>
      </c>
      <c r="C996" t="s">
        <v>4100</v>
      </c>
      <c r="D996" t="s">
        <v>4101</v>
      </c>
      <c r="E996" t="s">
        <v>4102</v>
      </c>
      <c r="G996" t="s">
        <v>673</v>
      </c>
      <c r="H996" t="s">
        <v>674</v>
      </c>
      <c r="I996">
        <v>6128</v>
      </c>
      <c r="J996" t="s">
        <v>675</v>
      </c>
      <c r="L996" t="s">
        <v>166</v>
      </c>
      <c r="M996" t="s">
        <v>107</v>
      </c>
      <c r="R996" t="s">
        <v>4100</v>
      </c>
      <c r="W996" t="s">
        <v>4102</v>
      </c>
      <c r="X996" t="s">
        <v>678</v>
      </c>
      <c r="Y996" t="s">
        <v>626</v>
      </c>
      <c r="Z996" t="s">
        <v>110</v>
      </c>
      <c r="AA996" t="str">
        <f>"11102-3544"</f>
        <v>11102-3544</v>
      </c>
      <c r="AB996" t="s">
        <v>172</v>
      </c>
      <c r="AC996" t="s">
        <v>112</v>
      </c>
      <c r="AD996" t="s">
        <v>107</v>
      </c>
      <c r="AE996" t="s">
        <v>113</v>
      </c>
      <c r="AG996" t="s">
        <v>114</v>
      </c>
    </row>
    <row r="997" spans="1:35" x14ac:dyDescent="0.25">
      <c r="A997" t="str">
        <f>"1588677504"</f>
        <v>1588677504</v>
      </c>
      <c r="B997" t="str">
        <f>"02784343"</f>
        <v>02784343</v>
      </c>
      <c r="C997" t="s">
        <v>4103</v>
      </c>
      <c r="D997" t="s">
        <v>4104</v>
      </c>
      <c r="E997" t="s">
        <v>4105</v>
      </c>
      <c r="G997" t="s">
        <v>673</v>
      </c>
      <c r="H997" t="s">
        <v>674</v>
      </c>
      <c r="I997">
        <v>6128</v>
      </c>
      <c r="J997" t="s">
        <v>675</v>
      </c>
      <c r="L997" t="s">
        <v>315</v>
      </c>
      <c r="M997" t="s">
        <v>107</v>
      </c>
      <c r="R997" t="s">
        <v>4103</v>
      </c>
      <c r="W997" t="s">
        <v>4105</v>
      </c>
      <c r="X997" t="s">
        <v>4106</v>
      </c>
      <c r="Y997" t="s">
        <v>1748</v>
      </c>
      <c r="Z997" t="s">
        <v>110</v>
      </c>
      <c r="AA997" t="str">
        <f>"11559-1216"</f>
        <v>11559-1216</v>
      </c>
      <c r="AB997" t="s">
        <v>172</v>
      </c>
      <c r="AC997" t="s">
        <v>112</v>
      </c>
      <c r="AD997" t="s">
        <v>107</v>
      </c>
      <c r="AE997" t="s">
        <v>113</v>
      </c>
      <c r="AG997" t="s">
        <v>114</v>
      </c>
    </row>
    <row r="998" spans="1:35" x14ac:dyDescent="0.25">
      <c r="A998" t="str">
        <f>"1376572750"</f>
        <v>1376572750</v>
      </c>
      <c r="B998" t="str">
        <f>"03749355"</f>
        <v>03749355</v>
      </c>
      <c r="C998" t="s">
        <v>4107</v>
      </c>
      <c r="D998" t="s">
        <v>4108</v>
      </c>
      <c r="E998" t="s">
        <v>4109</v>
      </c>
      <c r="G998" t="s">
        <v>103</v>
      </c>
      <c r="H998" t="s">
        <v>104</v>
      </c>
      <c r="J998" t="s">
        <v>105</v>
      </c>
      <c r="L998" t="s">
        <v>117</v>
      </c>
      <c r="M998" t="s">
        <v>107</v>
      </c>
      <c r="R998" t="s">
        <v>4107</v>
      </c>
      <c r="W998" t="s">
        <v>4109</v>
      </c>
      <c r="X998" t="s">
        <v>119</v>
      </c>
      <c r="Y998" t="s">
        <v>109</v>
      </c>
      <c r="Z998" t="s">
        <v>110</v>
      </c>
      <c r="AA998" t="str">
        <f>"11374-2259"</f>
        <v>11374-2259</v>
      </c>
      <c r="AB998" t="s">
        <v>111</v>
      </c>
      <c r="AC998" t="s">
        <v>112</v>
      </c>
      <c r="AD998" t="s">
        <v>107</v>
      </c>
      <c r="AE998" t="s">
        <v>113</v>
      </c>
      <c r="AG998" t="s">
        <v>114</v>
      </c>
    </row>
    <row r="999" spans="1:35" x14ac:dyDescent="0.25">
      <c r="A999" t="str">
        <f>"1275790420"</f>
        <v>1275790420</v>
      </c>
      <c r="B999" t="str">
        <f>"03749346"</f>
        <v>03749346</v>
      </c>
      <c r="C999" t="s">
        <v>4110</v>
      </c>
      <c r="D999" t="s">
        <v>4111</v>
      </c>
      <c r="E999" t="s">
        <v>4112</v>
      </c>
      <c r="G999" t="s">
        <v>103</v>
      </c>
      <c r="H999" t="s">
        <v>104</v>
      </c>
      <c r="J999" t="s">
        <v>105</v>
      </c>
      <c r="L999" t="s">
        <v>106</v>
      </c>
      <c r="M999" t="s">
        <v>107</v>
      </c>
      <c r="R999" t="s">
        <v>4110</v>
      </c>
      <c r="W999" t="s">
        <v>4112</v>
      </c>
      <c r="X999" t="s">
        <v>119</v>
      </c>
      <c r="Y999" t="s">
        <v>109</v>
      </c>
      <c r="Z999" t="s">
        <v>110</v>
      </c>
      <c r="AA999" t="str">
        <f>"11374-2259"</f>
        <v>11374-2259</v>
      </c>
      <c r="AB999" t="s">
        <v>111</v>
      </c>
      <c r="AC999" t="s">
        <v>112</v>
      </c>
      <c r="AD999" t="s">
        <v>107</v>
      </c>
      <c r="AE999" t="s">
        <v>113</v>
      </c>
      <c r="AG999" t="s">
        <v>114</v>
      </c>
    </row>
    <row r="1000" spans="1:35" x14ac:dyDescent="0.25">
      <c r="A1000" t="str">
        <f>"1477699791"</f>
        <v>1477699791</v>
      </c>
      <c r="B1000" t="str">
        <f>"02995820"</f>
        <v>02995820</v>
      </c>
      <c r="C1000" t="s">
        <v>4113</v>
      </c>
      <c r="D1000" t="s">
        <v>2156</v>
      </c>
      <c r="E1000" t="s">
        <v>2157</v>
      </c>
      <c r="G1000" t="s">
        <v>2158</v>
      </c>
      <c r="H1000" t="s">
        <v>274</v>
      </c>
      <c r="J1000" t="s">
        <v>275</v>
      </c>
      <c r="L1000" t="s">
        <v>2159</v>
      </c>
      <c r="M1000" t="s">
        <v>167</v>
      </c>
      <c r="R1000" t="s">
        <v>4114</v>
      </c>
      <c r="W1000" t="s">
        <v>2160</v>
      </c>
      <c r="X1000" t="s">
        <v>4115</v>
      </c>
      <c r="Y1000" t="s">
        <v>1285</v>
      </c>
      <c r="Z1000" t="s">
        <v>110</v>
      </c>
      <c r="AA1000" t="str">
        <f>"11104-2406"</f>
        <v>11104-2406</v>
      </c>
      <c r="AB1000" t="s">
        <v>184</v>
      </c>
      <c r="AC1000" t="s">
        <v>112</v>
      </c>
      <c r="AD1000" t="s">
        <v>107</v>
      </c>
      <c r="AE1000" t="s">
        <v>113</v>
      </c>
      <c r="AG1000" t="s">
        <v>114</v>
      </c>
    </row>
    <row r="1001" spans="1:35" x14ac:dyDescent="0.25">
      <c r="A1001" t="str">
        <f>"1659542413"</f>
        <v>1659542413</v>
      </c>
      <c r="B1001" t="str">
        <f>"03517008"</f>
        <v>03517008</v>
      </c>
      <c r="C1001" t="s">
        <v>4116</v>
      </c>
      <c r="D1001" t="s">
        <v>4117</v>
      </c>
      <c r="E1001" t="s">
        <v>4118</v>
      </c>
      <c r="G1001" t="s">
        <v>4119</v>
      </c>
      <c r="H1001" t="s">
        <v>177</v>
      </c>
      <c r="I1001">
        <v>4420</v>
      </c>
      <c r="J1001" t="s">
        <v>4120</v>
      </c>
      <c r="L1001" t="s">
        <v>106</v>
      </c>
      <c r="M1001" t="s">
        <v>107</v>
      </c>
      <c r="R1001" t="s">
        <v>4121</v>
      </c>
      <c r="W1001" t="s">
        <v>4118</v>
      </c>
      <c r="X1001" t="s">
        <v>659</v>
      </c>
      <c r="Y1001" t="s">
        <v>325</v>
      </c>
      <c r="Z1001" t="s">
        <v>110</v>
      </c>
      <c r="AA1001" t="str">
        <f>"10024-4018"</f>
        <v>10024-4018</v>
      </c>
      <c r="AB1001" t="s">
        <v>111</v>
      </c>
      <c r="AC1001" t="s">
        <v>112</v>
      </c>
      <c r="AD1001" t="s">
        <v>107</v>
      </c>
      <c r="AE1001" t="s">
        <v>113</v>
      </c>
      <c r="AG1001" t="s">
        <v>114</v>
      </c>
    </row>
    <row r="1002" spans="1:35" x14ac:dyDescent="0.25">
      <c r="A1002" t="str">
        <f>"1659469260"</f>
        <v>1659469260</v>
      </c>
      <c r="B1002" t="str">
        <f>"02732121"</f>
        <v>02732121</v>
      </c>
      <c r="C1002" t="s">
        <v>4122</v>
      </c>
      <c r="D1002" t="s">
        <v>4123</v>
      </c>
      <c r="E1002" t="s">
        <v>4124</v>
      </c>
      <c r="G1002" t="s">
        <v>4122</v>
      </c>
      <c r="H1002" t="s">
        <v>4125</v>
      </c>
      <c r="L1002" t="s">
        <v>166</v>
      </c>
      <c r="M1002" t="s">
        <v>167</v>
      </c>
      <c r="R1002" t="s">
        <v>4126</v>
      </c>
      <c r="W1002" t="s">
        <v>4127</v>
      </c>
      <c r="X1002" t="s">
        <v>4128</v>
      </c>
      <c r="Y1002" t="s">
        <v>207</v>
      </c>
      <c r="Z1002" t="s">
        <v>110</v>
      </c>
      <c r="AA1002" t="str">
        <f>"11375-1641"</f>
        <v>11375-1641</v>
      </c>
      <c r="AB1002" t="s">
        <v>172</v>
      </c>
      <c r="AC1002" t="s">
        <v>112</v>
      </c>
      <c r="AD1002" t="s">
        <v>107</v>
      </c>
      <c r="AE1002" t="s">
        <v>113</v>
      </c>
      <c r="AG1002" t="s">
        <v>114</v>
      </c>
      <c r="AI1002" t="s">
        <v>815</v>
      </c>
    </row>
    <row r="1003" spans="1:35" x14ac:dyDescent="0.25">
      <c r="A1003" t="str">
        <f>"1861682270"</f>
        <v>1861682270</v>
      </c>
      <c r="B1003" t="str">
        <f>"03914849"</f>
        <v>03914849</v>
      </c>
      <c r="C1003" t="s">
        <v>4129</v>
      </c>
      <c r="D1003" t="s">
        <v>4130</v>
      </c>
      <c r="E1003" t="s">
        <v>4131</v>
      </c>
      <c r="G1003" t="s">
        <v>4132</v>
      </c>
      <c r="H1003" t="s">
        <v>4133</v>
      </c>
      <c r="J1003" t="s">
        <v>4134</v>
      </c>
      <c r="L1003" t="s">
        <v>166</v>
      </c>
      <c r="M1003" t="s">
        <v>107</v>
      </c>
      <c r="R1003" t="s">
        <v>4135</v>
      </c>
      <c r="W1003" t="s">
        <v>4136</v>
      </c>
      <c r="X1003" t="s">
        <v>286</v>
      </c>
      <c r="Y1003" t="s">
        <v>183</v>
      </c>
      <c r="Z1003" t="s">
        <v>110</v>
      </c>
      <c r="AA1003" t="str">
        <f>"10459-3204"</f>
        <v>10459-3204</v>
      </c>
      <c r="AB1003" t="s">
        <v>172</v>
      </c>
      <c r="AC1003" t="s">
        <v>112</v>
      </c>
      <c r="AD1003" t="s">
        <v>107</v>
      </c>
      <c r="AE1003" t="s">
        <v>113</v>
      </c>
      <c r="AG1003" t="s">
        <v>114</v>
      </c>
    </row>
    <row r="1004" spans="1:35" x14ac:dyDescent="0.25">
      <c r="A1004" t="str">
        <f>"1245503580"</f>
        <v>1245503580</v>
      </c>
      <c r="B1004" t="str">
        <f>"03697330"</f>
        <v>03697330</v>
      </c>
      <c r="C1004" t="s">
        <v>4137</v>
      </c>
      <c r="D1004" t="s">
        <v>4138</v>
      </c>
      <c r="E1004" t="s">
        <v>4139</v>
      </c>
      <c r="G1004" t="s">
        <v>4119</v>
      </c>
      <c r="H1004" t="s">
        <v>177</v>
      </c>
      <c r="I1004">
        <v>4420</v>
      </c>
      <c r="J1004" t="s">
        <v>4120</v>
      </c>
      <c r="L1004" t="s">
        <v>106</v>
      </c>
      <c r="M1004" t="s">
        <v>107</v>
      </c>
      <c r="R1004" t="s">
        <v>4140</v>
      </c>
      <c r="W1004" t="s">
        <v>4139</v>
      </c>
      <c r="X1004" t="s">
        <v>4141</v>
      </c>
      <c r="Y1004" t="s">
        <v>325</v>
      </c>
      <c r="Z1004" t="s">
        <v>110</v>
      </c>
      <c r="AA1004" t="str">
        <f>"10065-0000"</f>
        <v>10065-0000</v>
      </c>
      <c r="AB1004" t="s">
        <v>172</v>
      </c>
      <c r="AC1004" t="s">
        <v>112</v>
      </c>
      <c r="AD1004" t="s">
        <v>107</v>
      </c>
      <c r="AE1004" t="s">
        <v>113</v>
      </c>
      <c r="AG1004" t="s">
        <v>114</v>
      </c>
    </row>
    <row r="1005" spans="1:35" x14ac:dyDescent="0.25">
      <c r="A1005" t="str">
        <f>"1447316740"</f>
        <v>1447316740</v>
      </c>
      <c r="B1005" t="str">
        <f>"04321591"</f>
        <v>04321591</v>
      </c>
      <c r="C1005" t="s">
        <v>4142</v>
      </c>
      <c r="D1005" t="s">
        <v>4143</v>
      </c>
      <c r="E1005" t="s">
        <v>4144</v>
      </c>
      <c r="G1005" t="s">
        <v>4119</v>
      </c>
      <c r="H1005" t="s">
        <v>177</v>
      </c>
      <c r="I1005">
        <v>4420</v>
      </c>
      <c r="J1005" t="s">
        <v>4120</v>
      </c>
      <c r="L1005" t="s">
        <v>106</v>
      </c>
      <c r="M1005" t="s">
        <v>107</v>
      </c>
      <c r="R1005" t="s">
        <v>4144</v>
      </c>
      <c r="W1005" t="s">
        <v>4144</v>
      </c>
      <c r="X1005" t="s">
        <v>1199</v>
      </c>
      <c r="Y1005" t="s">
        <v>422</v>
      </c>
      <c r="Z1005" t="s">
        <v>110</v>
      </c>
      <c r="AA1005" t="str">
        <f>"11435-5022"</f>
        <v>11435-5022</v>
      </c>
      <c r="AB1005" t="s">
        <v>111</v>
      </c>
      <c r="AC1005" t="s">
        <v>112</v>
      </c>
      <c r="AD1005" t="s">
        <v>107</v>
      </c>
      <c r="AE1005" t="s">
        <v>113</v>
      </c>
      <c r="AG1005" t="s">
        <v>114</v>
      </c>
    </row>
    <row r="1006" spans="1:35" x14ac:dyDescent="0.25">
      <c r="A1006" t="str">
        <f>"1588861512"</f>
        <v>1588861512</v>
      </c>
      <c r="C1006" t="s">
        <v>867</v>
      </c>
      <c r="G1006" t="s">
        <v>869</v>
      </c>
      <c r="H1006" t="s">
        <v>870</v>
      </c>
      <c r="J1006" t="s">
        <v>871</v>
      </c>
      <c r="K1006" t="s">
        <v>372</v>
      </c>
      <c r="L1006" t="s">
        <v>373</v>
      </c>
      <c r="M1006" t="s">
        <v>107</v>
      </c>
      <c r="R1006" t="s">
        <v>4145</v>
      </c>
      <c r="S1006" t="s">
        <v>872</v>
      </c>
      <c r="T1006" t="s">
        <v>1206</v>
      </c>
      <c r="U1006" t="s">
        <v>110</v>
      </c>
      <c r="V1006" t="str">
        <f>"113684022"</f>
        <v>113684022</v>
      </c>
      <c r="AC1006" t="s">
        <v>112</v>
      </c>
      <c r="AD1006" t="s">
        <v>107</v>
      </c>
      <c r="AE1006" t="s">
        <v>278</v>
      </c>
      <c r="AG1006" t="s">
        <v>114</v>
      </c>
      <c r="AI1006" t="s">
        <v>376</v>
      </c>
    </row>
    <row r="1007" spans="1:35" x14ac:dyDescent="0.25">
      <c r="A1007" t="str">
        <f>"1790001626"</f>
        <v>1790001626</v>
      </c>
      <c r="C1007" t="s">
        <v>1839</v>
      </c>
      <c r="G1007" t="s">
        <v>1841</v>
      </c>
      <c r="H1007" t="s">
        <v>767</v>
      </c>
      <c r="J1007" t="s">
        <v>768</v>
      </c>
      <c r="K1007" t="s">
        <v>372</v>
      </c>
      <c r="L1007" t="s">
        <v>373</v>
      </c>
      <c r="M1007" t="s">
        <v>107</v>
      </c>
      <c r="R1007" t="s">
        <v>4146</v>
      </c>
      <c r="S1007" t="s">
        <v>3861</v>
      </c>
      <c r="T1007" t="s">
        <v>240</v>
      </c>
      <c r="U1007" t="s">
        <v>110</v>
      </c>
      <c r="V1007" t="str">
        <f>"112204742"</f>
        <v>112204742</v>
      </c>
      <c r="AC1007" t="s">
        <v>112</v>
      </c>
      <c r="AD1007" t="s">
        <v>107</v>
      </c>
      <c r="AE1007" t="s">
        <v>278</v>
      </c>
      <c r="AG1007" t="s">
        <v>114</v>
      </c>
      <c r="AI1007" t="s">
        <v>376</v>
      </c>
    </row>
    <row r="1008" spans="1:35" x14ac:dyDescent="0.25">
      <c r="A1008" t="str">
        <f>"1902972979"</f>
        <v>1902972979</v>
      </c>
      <c r="B1008" t="str">
        <f>"01336745"</f>
        <v>01336745</v>
      </c>
      <c r="C1008" t="s">
        <v>4147</v>
      </c>
      <c r="D1008" t="s">
        <v>4148</v>
      </c>
      <c r="E1008" t="s">
        <v>4149</v>
      </c>
      <c r="G1008" t="s">
        <v>4150</v>
      </c>
      <c r="J1008" t="s">
        <v>4151</v>
      </c>
      <c r="L1008" t="s">
        <v>166</v>
      </c>
      <c r="M1008" t="s">
        <v>167</v>
      </c>
      <c r="R1008" t="s">
        <v>4152</v>
      </c>
      <c r="W1008" t="s">
        <v>4149</v>
      </c>
      <c r="X1008" t="s">
        <v>4153</v>
      </c>
      <c r="Y1008" t="s">
        <v>225</v>
      </c>
      <c r="Z1008" t="s">
        <v>110</v>
      </c>
      <c r="AA1008" t="str">
        <f>"11355-2205"</f>
        <v>11355-2205</v>
      </c>
      <c r="AB1008" t="s">
        <v>172</v>
      </c>
      <c r="AC1008" t="s">
        <v>112</v>
      </c>
      <c r="AD1008" t="s">
        <v>107</v>
      </c>
      <c r="AE1008" t="s">
        <v>113</v>
      </c>
      <c r="AG1008" t="s">
        <v>114</v>
      </c>
      <c r="AI1008" t="s">
        <v>4154</v>
      </c>
    </row>
    <row r="1009" spans="1:35" x14ac:dyDescent="0.25">
      <c r="A1009" t="str">
        <f>"1194733642"</f>
        <v>1194733642</v>
      </c>
      <c r="B1009" t="str">
        <f>"02994558"</f>
        <v>02994558</v>
      </c>
      <c r="C1009" t="s">
        <v>1876</v>
      </c>
      <c r="D1009" t="s">
        <v>1877</v>
      </c>
      <c r="E1009" t="s">
        <v>1878</v>
      </c>
      <c r="G1009" t="s">
        <v>1248</v>
      </c>
      <c r="H1009" t="s">
        <v>1249</v>
      </c>
      <c r="I1009">
        <v>216</v>
      </c>
      <c r="J1009" t="s">
        <v>1250</v>
      </c>
      <c r="L1009" t="s">
        <v>405</v>
      </c>
      <c r="M1009" t="s">
        <v>167</v>
      </c>
      <c r="R1009" t="s">
        <v>4155</v>
      </c>
      <c r="W1009" t="s">
        <v>1876</v>
      </c>
      <c r="X1009" t="s">
        <v>4156</v>
      </c>
      <c r="Y1009" t="s">
        <v>240</v>
      </c>
      <c r="Z1009" t="s">
        <v>110</v>
      </c>
      <c r="AA1009" t="str">
        <f>"11236-5523"</f>
        <v>11236-5523</v>
      </c>
      <c r="AB1009" t="s">
        <v>408</v>
      </c>
      <c r="AC1009" t="s">
        <v>112</v>
      </c>
      <c r="AD1009" t="s">
        <v>107</v>
      </c>
      <c r="AE1009" t="s">
        <v>113</v>
      </c>
      <c r="AG1009" t="s">
        <v>114</v>
      </c>
    </row>
    <row r="1010" spans="1:35" x14ac:dyDescent="0.25">
      <c r="A1010" t="str">
        <f>"1013325810"</f>
        <v>1013325810</v>
      </c>
      <c r="B1010" t="str">
        <f>"04207892"</f>
        <v>04207892</v>
      </c>
      <c r="C1010" t="s">
        <v>4157</v>
      </c>
      <c r="D1010" t="s">
        <v>4158</v>
      </c>
      <c r="E1010" t="s">
        <v>4159</v>
      </c>
      <c r="G1010" t="s">
        <v>4132</v>
      </c>
      <c r="H1010" t="s">
        <v>4133</v>
      </c>
      <c r="J1010" t="s">
        <v>4134</v>
      </c>
      <c r="L1010" t="s">
        <v>166</v>
      </c>
      <c r="M1010" t="s">
        <v>107</v>
      </c>
      <c r="R1010" t="s">
        <v>4159</v>
      </c>
      <c r="W1010" t="s">
        <v>4159</v>
      </c>
      <c r="X1010" t="s">
        <v>2797</v>
      </c>
      <c r="Y1010" t="s">
        <v>325</v>
      </c>
      <c r="Z1010" t="s">
        <v>110</v>
      </c>
      <c r="AA1010" t="str">
        <f>"10002-2301"</f>
        <v>10002-2301</v>
      </c>
      <c r="AB1010" t="s">
        <v>172</v>
      </c>
      <c r="AC1010" t="s">
        <v>112</v>
      </c>
      <c r="AD1010" t="s">
        <v>107</v>
      </c>
      <c r="AE1010" t="s">
        <v>113</v>
      </c>
      <c r="AG1010" t="s">
        <v>114</v>
      </c>
    </row>
    <row r="1011" spans="1:35" x14ac:dyDescent="0.25">
      <c r="A1011" t="str">
        <f>"1578695987"</f>
        <v>1578695987</v>
      </c>
      <c r="B1011" t="str">
        <f>"00765513"</f>
        <v>00765513</v>
      </c>
      <c r="C1011" t="s">
        <v>4160</v>
      </c>
      <c r="D1011" t="s">
        <v>4161</v>
      </c>
      <c r="E1011" t="s">
        <v>4162</v>
      </c>
      <c r="G1011" t="s">
        <v>4163</v>
      </c>
      <c r="J1011" t="s">
        <v>4164</v>
      </c>
      <c r="L1011" t="s">
        <v>106</v>
      </c>
      <c r="M1011" t="s">
        <v>107</v>
      </c>
      <c r="R1011" t="s">
        <v>4165</v>
      </c>
      <c r="W1011" t="s">
        <v>4162</v>
      </c>
      <c r="X1011" t="s">
        <v>4166</v>
      </c>
      <c r="Y1011" t="s">
        <v>171</v>
      </c>
      <c r="Z1011" t="s">
        <v>110</v>
      </c>
      <c r="AA1011" t="str">
        <f>"11373-6206"</f>
        <v>11373-6206</v>
      </c>
      <c r="AB1011" t="s">
        <v>172</v>
      </c>
      <c r="AC1011" t="s">
        <v>112</v>
      </c>
      <c r="AD1011" t="s">
        <v>107</v>
      </c>
      <c r="AE1011" t="s">
        <v>113</v>
      </c>
      <c r="AG1011" t="s">
        <v>114</v>
      </c>
      <c r="AI1011" t="s">
        <v>4154</v>
      </c>
    </row>
    <row r="1012" spans="1:35" x14ac:dyDescent="0.25">
      <c r="A1012" t="str">
        <f>"1245393875"</f>
        <v>1245393875</v>
      </c>
      <c r="B1012" t="str">
        <f>"02831758"</f>
        <v>02831758</v>
      </c>
      <c r="C1012" t="s">
        <v>4167</v>
      </c>
      <c r="D1012" t="s">
        <v>4168</v>
      </c>
      <c r="E1012" t="s">
        <v>4169</v>
      </c>
      <c r="G1012" t="s">
        <v>4132</v>
      </c>
      <c r="H1012" t="s">
        <v>4133</v>
      </c>
      <c r="J1012" t="s">
        <v>4134</v>
      </c>
      <c r="L1012" t="s">
        <v>166</v>
      </c>
      <c r="M1012" t="s">
        <v>167</v>
      </c>
      <c r="R1012" t="s">
        <v>4170</v>
      </c>
      <c r="W1012" t="s">
        <v>4169</v>
      </c>
      <c r="X1012" t="s">
        <v>4171</v>
      </c>
      <c r="Y1012" t="s">
        <v>325</v>
      </c>
      <c r="Z1012" t="s">
        <v>110</v>
      </c>
      <c r="AA1012" t="str">
        <f>"10032-3720"</f>
        <v>10032-3720</v>
      </c>
      <c r="AB1012" t="s">
        <v>172</v>
      </c>
      <c r="AC1012" t="s">
        <v>112</v>
      </c>
      <c r="AD1012" t="s">
        <v>107</v>
      </c>
      <c r="AE1012" t="s">
        <v>113</v>
      </c>
      <c r="AG1012" t="s">
        <v>114</v>
      </c>
    </row>
    <row r="1013" spans="1:35" x14ac:dyDescent="0.25">
      <c r="A1013" t="str">
        <f>"1538545272"</f>
        <v>1538545272</v>
      </c>
      <c r="B1013" t="str">
        <f>"04270760"</f>
        <v>04270760</v>
      </c>
      <c r="C1013" t="s">
        <v>4172</v>
      </c>
      <c r="D1013" t="s">
        <v>4173</v>
      </c>
      <c r="E1013" t="s">
        <v>4174</v>
      </c>
      <c r="G1013" t="s">
        <v>4132</v>
      </c>
      <c r="H1013" t="s">
        <v>4133</v>
      </c>
      <c r="J1013" t="s">
        <v>4134</v>
      </c>
      <c r="L1013" t="s">
        <v>215</v>
      </c>
      <c r="M1013" t="s">
        <v>107</v>
      </c>
      <c r="R1013" t="s">
        <v>4174</v>
      </c>
      <c r="W1013" t="s">
        <v>4175</v>
      </c>
      <c r="X1013" t="s">
        <v>450</v>
      </c>
      <c r="Y1013" t="s">
        <v>325</v>
      </c>
      <c r="Z1013" t="s">
        <v>110</v>
      </c>
      <c r="AA1013" t="str">
        <f>"10002-2301"</f>
        <v>10002-2301</v>
      </c>
      <c r="AB1013" t="s">
        <v>172</v>
      </c>
      <c r="AC1013" t="s">
        <v>112</v>
      </c>
      <c r="AD1013" t="s">
        <v>107</v>
      </c>
      <c r="AE1013" t="s">
        <v>113</v>
      </c>
      <c r="AG1013" t="s">
        <v>114</v>
      </c>
    </row>
    <row r="1014" spans="1:35" x14ac:dyDescent="0.25">
      <c r="A1014" t="str">
        <f>"1962599035"</f>
        <v>1962599035</v>
      </c>
      <c r="B1014" t="str">
        <f>"02151866"</f>
        <v>02151866</v>
      </c>
      <c r="C1014" t="s">
        <v>4176</v>
      </c>
      <c r="D1014" t="s">
        <v>4177</v>
      </c>
      <c r="E1014" t="s">
        <v>4178</v>
      </c>
      <c r="G1014" t="s">
        <v>4132</v>
      </c>
      <c r="H1014" t="s">
        <v>4133</v>
      </c>
      <c r="J1014" t="s">
        <v>4134</v>
      </c>
      <c r="L1014" t="s">
        <v>166</v>
      </c>
      <c r="M1014" t="s">
        <v>107</v>
      </c>
      <c r="R1014" t="s">
        <v>4179</v>
      </c>
      <c r="W1014" t="s">
        <v>4178</v>
      </c>
      <c r="X1014" t="s">
        <v>4180</v>
      </c>
      <c r="Y1014" t="s">
        <v>325</v>
      </c>
      <c r="Z1014" t="s">
        <v>110</v>
      </c>
      <c r="AA1014" t="str">
        <f>"10021-4872"</f>
        <v>10021-4872</v>
      </c>
      <c r="AB1014" t="s">
        <v>172</v>
      </c>
      <c r="AC1014" t="s">
        <v>112</v>
      </c>
      <c r="AD1014" t="s">
        <v>107</v>
      </c>
      <c r="AE1014" t="s">
        <v>113</v>
      </c>
      <c r="AG1014" t="s">
        <v>114</v>
      </c>
    </row>
    <row r="1015" spans="1:35" x14ac:dyDescent="0.25">
      <c r="A1015" t="str">
        <f>"1194109215"</f>
        <v>1194109215</v>
      </c>
      <c r="B1015" t="str">
        <f>"04207787"</f>
        <v>04207787</v>
      </c>
      <c r="C1015" t="s">
        <v>4181</v>
      </c>
      <c r="D1015" t="s">
        <v>4182</v>
      </c>
      <c r="E1015" t="s">
        <v>4183</v>
      </c>
      <c r="G1015" t="s">
        <v>4132</v>
      </c>
      <c r="H1015" t="s">
        <v>4133</v>
      </c>
      <c r="J1015" t="s">
        <v>4134</v>
      </c>
      <c r="L1015" t="s">
        <v>166</v>
      </c>
      <c r="M1015" t="s">
        <v>107</v>
      </c>
      <c r="R1015" t="s">
        <v>4183</v>
      </c>
      <c r="W1015" t="s">
        <v>4184</v>
      </c>
      <c r="X1015" t="s">
        <v>2797</v>
      </c>
      <c r="Y1015" t="s">
        <v>325</v>
      </c>
      <c r="Z1015" t="s">
        <v>110</v>
      </c>
      <c r="AA1015" t="str">
        <f>"10002-2301"</f>
        <v>10002-2301</v>
      </c>
      <c r="AB1015" t="s">
        <v>172</v>
      </c>
      <c r="AC1015" t="s">
        <v>112</v>
      </c>
      <c r="AD1015" t="s">
        <v>107</v>
      </c>
      <c r="AE1015" t="s">
        <v>113</v>
      </c>
      <c r="AG1015" t="s">
        <v>114</v>
      </c>
    </row>
    <row r="1016" spans="1:35" x14ac:dyDescent="0.25">
      <c r="A1016" t="str">
        <f>"1669845160"</f>
        <v>1669845160</v>
      </c>
      <c r="B1016" t="str">
        <f>"04325999"</f>
        <v>04325999</v>
      </c>
      <c r="C1016" t="s">
        <v>4185</v>
      </c>
      <c r="D1016" t="s">
        <v>4186</v>
      </c>
      <c r="E1016" t="s">
        <v>4187</v>
      </c>
      <c r="G1016" t="s">
        <v>4132</v>
      </c>
      <c r="H1016" t="s">
        <v>4133</v>
      </c>
      <c r="J1016" t="s">
        <v>4134</v>
      </c>
      <c r="L1016" t="s">
        <v>106</v>
      </c>
      <c r="M1016" t="s">
        <v>107</v>
      </c>
      <c r="R1016" t="s">
        <v>4187</v>
      </c>
      <c r="W1016" t="s">
        <v>4187</v>
      </c>
      <c r="X1016" t="s">
        <v>450</v>
      </c>
      <c r="Y1016" t="s">
        <v>325</v>
      </c>
      <c r="Z1016" t="s">
        <v>110</v>
      </c>
      <c r="AA1016" t="str">
        <f>"10002-2301"</f>
        <v>10002-2301</v>
      </c>
      <c r="AB1016" t="s">
        <v>172</v>
      </c>
      <c r="AC1016" t="s">
        <v>112</v>
      </c>
      <c r="AD1016" t="s">
        <v>107</v>
      </c>
      <c r="AE1016" t="s">
        <v>113</v>
      </c>
      <c r="AG1016" t="s">
        <v>114</v>
      </c>
    </row>
    <row r="1017" spans="1:35" x14ac:dyDescent="0.25">
      <c r="A1017" t="str">
        <f>"1780771865"</f>
        <v>1780771865</v>
      </c>
      <c r="B1017" t="str">
        <f>"02134563"</f>
        <v>02134563</v>
      </c>
      <c r="C1017" t="s">
        <v>4188</v>
      </c>
      <c r="D1017" t="s">
        <v>4189</v>
      </c>
      <c r="E1017" t="s">
        <v>4190</v>
      </c>
      <c r="G1017" t="s">
        <v>4132</v>
      </c>
      <c r="H1017" t="s">
        <v>4133</v>
      </c>
      <c r="J1017" t="s">
        <v>4134</v>
      </c>
      <c r="L1017" t="s">
        <v>166</v>
      </c>
      <c r="M1017" t="s">
        <v>167</v>
      </c>
      <c r="R1017" t="s">
        <v>4191</v>
      </c>
      <c r="W1017" t="s">
        <v>4190</v>
      </c>
      <c r="X1017" t="s">
        <v>4192</v>
      </c>
      <c r="Y1017" t="s">
        <v>325</v>
      </c>
      <c r="Z1017" t="s">
        <v>110</v>
      </c>
      <c r="AA1017" t="str">
        <f>"10021-4872"</f>
        <v>10021-4872</v>
      </c>
      <c r="AB1017" t="s">
        <v>172</v>
      </c>
      <c r="AC1017" t="s">
        <v>112</v>
      </c>
      <c r="AD1017" t="s">
        <v>107</v>
      </c>
      <c r="AE1017" t="s">
        <v>113</v>
      </c>
      <c r="AG1017" t="s">
        <v>114</v>
      </c>
    </row>
    <row r="1018" spans="1:35" x14ac:dyDescent="0.25">
      <c r="A1018" t="str">
        <f>"1740520949"</f>
        <v>1740520949</v>
      </c>
      <c r="C1018" t="s">
        <v>2896</v>
      </c>
      <c r="G1018" t="s">
        <v>2898</v>
      </c>
      <c r="H1018" t="s">
        <v>2899</v>
      </c>
      <c r="J1018" t="s">
        <v>2900</v>
      </c>
      <c r="K1018" t="s">
        <v>372</v>
      </c>
      <c r="L1018" t="s">
        <v>373</v>
      </c>
      <c r="M1018" t="s">
        <v>107</v>
      </c>
      <c r="R1018" t="s">
        <v>4193</v>
      </c>
      <c r="S1018" t="s">
        <v>398</v>
      </c>
      <c r="T1018" t="s">
        <v>399</v>
      </c>
      <c r="U1018" t="s">
        <v>110</v>
      </c>
      <c r="V1018" t="str">
        <f>"110401436"</f>
        <v>110401436</v>
      </c>
      <c r="AC1018" t="s">
        <v>112</v>
      </c>
      <c r="AD1018" t="s">
        <v>107</v>
      </c>
      <c r="AE1018" t="s">
        <v>278</v>
      </c>
      <c r="AG1018" t="s">
        <v>114</v>
      </c>
      <c r="AI1018" t="s">
        <v>376</v>
      </c>
    </row>
    <row r="1019" spans="1:35" x14ac:dyDescent="0.25">
      <c r="A1019" t="str">
        <f>"1467659482"</f>
        <v>1467659482</v>
      </c>
      <c r="C1019" t="s">
        <v>4194</v>
      </c>
      <c r="G1019" t="s">
        <v>869</v>
      </c>
      <c r="H1019" t="s">
        <v>870</v>
      </c>
      <c r="J1019" t="s">
        <v>871</v>
      </c>
      <c r="K1019" t="s">
        <v>2401</v>
      </c>
      <c r="L1019" t="s">
        <v>373</v>
      </c>
      <c r="M1019" t="s">
        <v>107</v>
      </c>
      <c r="R1019" t="s">
        <v>4194</v>
      </c>
      <c r="S1019" t="s">
        <v>4195</v>
      </c>
      <c r="T1019" t="s">
        <v>880</v>
      </c>
      <c r="U1019" t="s">
        <v>110</v>
      </c>
      <c r="V1019" t="str">
        <f>"113691333"</f>
        <v>113691333</v>
      </c>
      <c r="AC1019" t="s">
        <v>112</v>
      </c>
      <c r="AD1019" t="s">
        <v>107</v>
      </c>
      <c r="AE1019" t="s">
        <v>278</v>
      </c>
      <c r="AG1019" t="s">
        <v>114</v>
      </c>
    </row>
  </sheetData>
  <autoFilter ref="A1:AI1019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DBD43789D6E44AA426FD20F8B7969" ma:contentTypeVersion="2" ma:contentTypeDescription="Create a new document." ma:contentTypeScope="" ma:versionID="17cdd02118f0e13909ab901fcee0cbd0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E8A69-D4EC-4D8D-9C93-F42050168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04FEAD-DB9D-4EC4-BC9B-2EE57D4AA9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3FD866-5B9C-41CE-8BFF-459D3C7B927C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62caa75-196a-4e38-861a-5b8d77e98c8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</vt:lpstr>
      <vt:lpstr>NYPQ Perf Network 032017</vt:lpstr>
      <vt:lpstr>'2nd Tier Funds Flow'!Print_Area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revision/>
  <dcterms:created xsi:type="dcterms:W3CDTF">2017-03-24T14:24:06Z</dcterms:created>
  <dcterms:modified xsi:type="dcterms:W3CDTF">2017-10-30T17:49:21Z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0x010100C6CDBD43789D6E44AA426FD20F8B7969</vt:lpwstr>
  </property>
  <property fmtid="{D5CDD505-2E9C-101B-9397-08002B2CF9AE}" pid="3" name="WorkbookGuid">
    <vt:lpwstr>5870cbc4-b8d5-4484-8b4a-6d742f2d1682</vt:lpwstr>
  </property>
</Properties>
</file>